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Серверы" sheetId="1" state="visible" r:id="rId1"/>
    <sheet name="Комплектующие" sheetId="2" state="visible" r:id="rId2"/>
    <sheet name="Сетевое оборудование" sheetId="3" state="visible" r:id="rId3"/>
    <sheet name="Маршрутизаторы" sheetId="4" state="visible" r:id="rId4"/>
    <sheet name="Принтеры и комплектующие" sheetId="5" state="visible" r:id="rId5"/>
    <sheet name="Сетевые оптические решения" sheetId="6" state="visible" r:id="rId6"/>
    <sheet name="Точки доступа WiFi" sheetId="7" state="visible" r:id="rId7"/>
    <sheet name="Умный дом" sheetId="8" state="visible" r:id="rId8"/>
    <sheet name="IP-оборудование" sheetId="9" state="visible" r:id="rId9"/>
    <sheet name="Межсетевые экраны (брандмауэр)" sheetId="10" state="visible" r:id="rId10"/>
    <sheet name="Услуги" sheetId="11" state="visible" r:id="rId1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 &quot;UZS&quot;"/>
  </numFmts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1" applyAlignment="1" pivotButton="0" quotePrefix="0" xfId="0">
      <alignment horizontal="center" vertical="center" wrapText="1"/>
    </xf>
    <xf numFmtId="164" fontId="1" fillId="0" borderId="1" applyAlignment="1" pivotButton="0" quotePrefix="0" xfId="0">
      <alignment horizontal="center" vertical="center" wrapText="1"/>
    </xf>
    <xf numFmtId="0" fontId="1" fillId="0" borderId="1" applyAlignment="1" pivotButton="0" quotePrefix="0" xfId="0">
      <alignment horizontal="center" vertical="top"/>
    </xf>
    <xf numFmtId="0" fontId="0" fillId="0" borderId="0" applyAlignment="1" pivotButton="0" quotePrefix="0" xfId="0">
      <alignment vertical="center" wrapText="1"/>
    </xf>
    <xf numFmtId="164" fontId="0" fillId="0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styles" Target="styles.xml" Id="rId12" /><Relationship Type="http://schemas.openxmlformats.org/officeDocument/2006/relationships/theme" Target="theme/theme1.xml" Id="rId1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3564EE"/>
    <outlinePr summaryBelow="1" summaryRight="1"/>
    <pageSetUpPr/>
  </sheetPr>
  <dimension ref="A1:I2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Бренд</t>
        </is>
      </c>
      <c r="G1" s="2" t="inlineStr">
        <is>
          <t>На сайте</t>
        </is>
      </c>
      <c r="H1" s="2" t="inlineStr">
        <is>
          <t>SKU</t>
        </is>
      </c>
      <c r="I1" s="3" t="inlineStr">
        <is>
          <t>от 5 штук</t>
        </is>
      </c>
    </row>
    <row r="2">
      <c r="A2" s="4" t="inlineStr">
        <is>
          <t>Файловый сервер</t>
        </is>
      </c>
      <c r="B2" s="4" t="inlineStr">
        <is>
          <t>Файловый сервер Dell EMC PowerEdge R760xs Rack 2U 16 SFF HDD/SSD + 8 SFF NVMe U.2  | Dell EMC PowerEdge R760xs Rack 2U 16 SFF HDD/SSD + 8 SFF NVMe U.2 (R760xs-xxx-IT4) | Intel Xeon Silver 4316 (2.3GHz/20-core/150W) | Оперативная память Samsung 64GB DDR4-3200MHz 3200AA | RAID Контроллер DELL PERC H755N 8Gb RAID NVMe | 1.6TB PCI-e NVMe / Mix Use / Express Flash / PCI-e 4.0 | SSD Накопитель DELL 1.92TB / SATA / RI / SSD | Блок питания DELL 800W G15 Hot-Plug Power Supply</t>
        </is>
      </c>
      <c r="C2" s="5" t="inlineStr">
        <is>
          <t>Гарантия 36 мес.</t>
        </is>
      </c>
      <c r="D2" s="5" t="n">
        <v>281891232</v>
      </c>
      <c r="E2" s="5" t="n">
        <v>251688600</v>
      </c>
      <c r="F2" s="5" t="inlineStr">
        <is>
          <t>Dell</t>
        </is>
      </c>
      <c r="G2" s="5">
        <f>HYPERLINK("https://itrix.uz/configuration/396", "🔗 Купить продукт")</f>
        <v/>
      </c>
      <c r="H2" s="5" t="inlineStr">
        <is>
          <t>1-396-0</t>
        </is>
      </c>
      <c r="I2" t="inlineStr"/>
    </row>
    <row r="3">
      <c r="A3" s="4" t="inlineStr">
        <is>
          <t>Сервер для виртуализации</t>
        </is>
      </c>
      <c r="B3" s="4" t="inlineStr">
        <is>
          <t>Сервер для виртуализации HPE ProLiant DL360 Gen10 | HPE ProLiant DL360 Gen10 Rack 1U 8 SFF (P40400-B21) | Intel Xeon-Silver 4210R (2.4GHz/10-core/100W) | Samsung 64GB DDR4-2666MHz 2666V-LD2-12-DB1 LRDIMM | RAID Контроллер HPE P408e-p SR (Ext.) 4gb Cache 12G SAS PCIe (incl.96W Batt) | SSD Накопитель HPE 240GB / SATA / RI / SSD | 1.6TB PCI-e NVMe / Mix Use / Express Flash / PCI-e 4.0 | Блок питания HPE 800W Flex Slot Platinum Hot Plug</t>
        </is>
      </c>
      <c r="C3" s="5" t="inlineStr">
        <is>
          <t>Гарантия 36 мес.</t>
        </is>
      </c>
      <c r="D3" s="5" t="n">
        <v>111487712</v>
      </c>
      <c r="E3" s="5" t="n">
        <v>99542600</v>
      </c>
      <c r="F3" s="5" t="inlineStr">
        <is>
          <t>HPE</t>
        </is>
      </c>
      <c r="G3" s="5">
        <f>HYPERLINK("https://itrix.uz/configuration/397", "🔗 Купить продукт")</f>
        <v/>
      </c>
      <c r="H3" s="5" t="inlineStr">
        <is>
          <t>1-397-0</t>
        </is>
      </c>
      <c r="I3" t="inlineStr"/>
    </row>
    <row r="4">
      <c r="A4" s="4" t="inlineStr">
        <is>
          <t>Сервер для виртуализации</t>
        </is>
      </c>
      <c r="B4" s="4" t="inlineStr">
        <is>
          <t>Сервер виртуализации HPE ProLiant DL380 Gen10 | HPE ProLiant DL380 Gen10 Rack 2U 8 SFF (P02466-B21) | Intel Xeon Gold 5317 (3.0GHz/12-core/150W) | Оперативная память HPE 64GB DDR4-3200MHz 3200AA-RB2 | RAID Контроллер HPE P408i-a SR (Int.) 2gb Cache 12G SAS PCIe (incl.96W Batt) | SSD Накопитель HPE 960GB / SATA / RI / SSD | Блок питания HPE 800W Flex Slot Platinum Hot Plug</t>
        </is>
      </c>
      <c r="C4" s="5" t="inlineStr">
        <is>
          <t>Гарантия 36 мес.</t>
        </is>
      </c>
      <c r="D4" s="5" t="n">
        <v>120335040</v>
      </c>
      <c r="E4" s="5" t="n">
        <v>107442000</v>
      </c>
      <c r="F4" s="5" t="inlineStr">
        <is>
          <t>HPE</t>
        </is>
      </c>
      <c r="G4" s="5">
        <f>HYPERLINK("https://itrix.uz/configuration/398", "🔗 Купить продукт")</f>
        <v/>
      </c>
      <c r="H4" s="5" t="inlineStr">
        <is>
          <t>1-398-0</t>
        </is>
      </c>
      <c r="I4" t="inlineStr"/>
    </row>
    <row r="5">
      <c r="A5" s="4" t="inlineStr">
        <is>
          <t>Сервер для виртуализации</t>
        </is>
      </c>
      <c r="B5" s="4" t="inlineStr">
        <is>
          <t>Сервер для виртуализации Dell EMC PowerEdge R550 Rack 2U 8 LFF | Dell EMC PowerEdge R550 Rack 2U 8 LFF | Intel Xeon-Silver 4210R (2.4GHz/10-core/100W) | Блок питания DELL 800W G15 Hot-Plug Power Supply | RAID Контроллер DELL PERC H745 4Gb RAID 12Gb/s | Оперативная память Samsung 32GB DDR4-3200MHz UDIMM | SSD Накопитель DELL 1.92TB / SATA / RI / SSD</t>
        </is>
      </c>
      <c r="C5" s="5" t="inlineStr">
        <is>
          <t>Гарантия 36 мес.</t>
        </is>
      </c>
      <c r="D5" s="5" t="n">
        <v>173675040</v>
      </c>
      <c r="E5" s="5" t="n">
        <v>155067000</v>
      </c>
      <c r="F5" s="5" t="inlineStr">
        <is>
          <t>Dell</t>
        </is>
      </c>
      <c r="G5" s="5">
        <f>HYPERLINK("https://itrix.uz/configuration/399", "🔗 Купить продукт")</f>
        <v/>
      </c>
      <c r="H5" s="5" t="inlineStr">
        <is>
          <t>1-399-0</t>
        </is>
      </c>
      <c r="I5" t="inlineStr"/>
    </row>
    <row r="6">
      <c r="A6" s="4" t="inlineStr">
        <is>
          <t>Сервер баз данных</t>
        </is>
      </c>
      <c r="B6" s="4" t="inlineStr">
        <is>
          <t>Сервер для базы данных Dell EMC PowerEdge R750 Rack 2U 16 SFF | Dell EMC PowerEdge R750 Rack 2U 16 SFF (210-AYCG-125-000) | Intel Xeon Gold 6342 (2.8GHz/24-core/230W) | Оперативная память Samsung 64GB DDR4-3200MHz 3200AA | 3.2TB PCI-e NVMe / Mix Use / Express Flash / PCI-e 4.0 | SSD Накопитель Intel 2TB DC P4510 Series / NVMe / RI / SAS / SSD | RAID Контроллер DELL PERC H755N 8Gb RAID NVMe | Блок питания DELL 800W G15 Hot-Plug Power Supply</t>
        </is>
      </c>
      <c r="C6" s="5" t="inlineStr">
        <is>
          <t>Гарантия 36 мес.</t>
        </is>
      </c>
      <c r="D6" s="5" t="n">
        <v>222250000</v>
      </c>
      <c r="E6" s="5" t="n">
        <v>198437500</v>
      </c>
      <c r="F6" s="5" t="inlineStr">
        <is>
          <t>Dell</t>
        </is>
      </c>
      <c r="G6" s="5">
        <f>HYPERLINK("https://itrix.uz/configuration/400", "🔗 Купить продукт")</f>
        <v/>
      </c>
      <c r="H6" s="5" t="inlineStr">
        <is>
          <t>1-400-0</t>
        </is>
      </c>
      <c r="I6" t="inlineStr"/>
    </row>
    <row r="7">
      <c r="A7" s="4" t="inlineStr">
        <is>
          <t>Сервер баз данных</t>
        </is>
      </c>
      <c r="B7" s="4" t="inlineStr">
        <is>
          <t>Сервер баз данных HPE ProLiant DL380 Gen10 | HPE ProLiant DL380 Gen10 Rack 2U 8 SFF (P02466-B21) | Intel Xeon Gold 6338 (2GHz/32-core/205W) | Оперативная память HPE 64GB DDR4-3200MHz 3200AA-RB2 | SSD Накопитель Intel 480GB S4510 / RI / SATA / SSD | 1.6TB PCI-e NVMe / Mix Use / Express Flash / PCI-e 4.0 | RAID Контроллер HPE P816i-a SR (Int.) 4gb Cache 12G SAS PCIe (incl.96W Batt) | Блок питания HPE G10 Plus 1600W Flex Slot Platinum Hot Plug Low Halogen Power Supply</t>
        </is>
      </c>
      <c r="C7" s="5" t="inlineStr">
        <is>
          <t>Гарантия 36 мес.</t>
        </is>
      </c>
      <c r="D7" s="5" t="n">
        <v>200160128</v>
      </c>
      <c r="E7" s="5" t="n">
        <v>178714400</v>
      </c>
      <c r="F7" s="5" t="inlineStr">
        <is>
          <t>HPE</t>
        </is>
      </c>
      <c r="G7" s="5">
        <f>HYPERLINK("https://itrix.uz/configuration/401", "🔗 Купить продукт")</f>
        <v/>
      </c>
      <c r="H7" s="5" t="inlineStr">
        <is>
          <t>1-401-0</t>
        </is>
      </c>
      <c r="I7" t="inlineStr"/>
    </row>
    <row r="8">
      <c r="A8" s="4" t="inlineStr">
        <is>
          <t>Cервер для 1С</t>
        </is>
      </c>
      <c r="B8" s="4" t="inlineStr">
        <is>
          <t>Сервер для 1С HPE DL360 Gen10 Plus 8SFF Rack 1U | HPE ProLiant DL360 Gen10 Plus Rack 1U 8 SFF (P55274-421) | Intel Xeon Silver 4316 (2.3GHz/20-core/150W) | Оперативная память HPE 32GB DDR4-2666Mhz  | RAID Контроллер HPE P408i-a SR (Int.) 2gb Cache 12G SAS PCIe (incl.96W Batt) | Блок питания HPE 800W Flex Slot Platinum Hot Plug</t>
        </is>
      </c>
      <c r="C8" s="5" t="inlineStr">
        <is>
          <t>Гарантия 36 мес.</t>
        </is>
      </c>
      <c r="D8" s="5" t="n">
        <v>83551776</v>
      </c>
      <c r="E8" s="5" t="n">
        <v>74599800</v>
      </c>
      <c r="F8" s="5" t="inlineStr">
        <is>
          <t>HPE</t>
        </is>
      </c>
      <c r="G8" s="5">
        <f>HYPERLINK("https://itrix.uz/configuration/385", "🔗 Купить продукт")</f>
        <v/>
      </c>
      <c r="H8" s="5" t="inlineStr">
        <is>
          <t>1-385-0</t>
        </is>
      </c>
      <c r="I8" t="inlineStr"/>
    </row>
    <row r="9">
      <c r="A9" s="4" t="inlineStr">
        <is>
          <t>Сервер для офиса</t>
        </is>
      </c>
      <c r="B9" s="4" t="inlineStr">
        <is>
          <t>Сервер для офиса HPE ProLiant DL380 Gen10 Rack 2U 8 SFF | HPE ProLiant DL380 Gen10 Rack 2U 8 SFF (P02466-B21) | Intel Xeon-Gold 6250 (3.9GHz/8-core/185W) | Оперативная память HPE 32GB DDR4-2933MHz 2933Y-RB2-12 | SSD Накопитель HPE 1.92TB / SATA / RI / SSD | Блок питания HPE 800W Flex Slot Platinum Hot Plug | RAID Контроллер HPE P408e-p SR (Ext.) 4gb Cache 12G SAS PCIe (incl.96W Batt)</t>
        </is>
      </c>
      <c r="C9" s="5" t="inlineStr">
        <is>
          <t>Гарантия 36 мес.</t>
        </is>
      </c>
      <c r="D9" s="5" t="n">
        <v>168113456</v>
      </c>
      <c r="E9" s="5" t="n">
        <v>150101300</v>
      </c>
      <c r="F9" s="5" t="inlineStr">
        <is>
          <t>HPE</t>
        </is>
      </c>
      <c r="G9" s="5">
        <f>HYPERLINK("https://itrix.uz/configuration/389", "🔗 Купить продукт")</f>
        <v/>
      </c>
      <c r="H9" s="5" t="inlineStr">
        <is>
          <t>1-389-0</t>
        </is>
      </c>
      <c r="I9" t="inlineStr"/>
    </row>
    <row r="10">
      <c r="A10" s="4" t="inlineStr">
        <is>
          <t>Сервер для видеонаблюдения</t>
        </is>
      </c>
      <c r="B10" s="4" t="inlineStr">
        <is>
          <t>Сервер для видеонаблюдения HPE ProLiant DL380 Gen10 | HPE ProLiant DL380 Gen10 Rack 2U 8 SFF (P02466-B21) | Intel Xeon-Silver 4210R (2.4GHz/10-core/100W) | Оперативная память HPE 64GB DDR4-3200MHz 3200AA-RB2 | SSD Накопитель Intel 480GB S4510 / RI / SATA / SSD | Жесткий диск HPE 16TB / SAS / 7200 rpm / LFF / 3.5" HDD | Дисковая корзина HPE ML110/ML350 Gen10 4LFF Drive Backplane Cage Kit | RAID Контроллер HPE P816i-a SR (Int.) 4gb Cache 12G SAS PCIe (incl.96W Batt) | Блок питания HPE G10 Plus 1600W Flex Slot Platinum Hot Plug Low Halogen Power Supply</t>
        </is>
      </c>
      <c r="C10" s="5" t="inlineStr">
        <is>
          <t>Гарантия 36 мес.</t>
        </is>
      </c>
      <c r="D10" s="5" t="n">
        <v>106310176</v>
      </c>
      <c r="E10" s="5" t="n">
        <v>94919800</v>
      </c>
      <c r="F10" s="5" t="inlineStr">
        <is>
          <t>HPE</t>
        </is>
      </c>
      <c r="G10" s="5">
        <f>HYPERLINK("https://itrix.uz/configuration/402", "🔗 Купить продукт")</f>
        <v/>
      </c>
      <c r="H10" s="5" t="inlineStr">
        <is>
          <t>1-402-0</t>
        </is>
      </c>
      <c r="I10" t="inlineStr"/>
    </row>
    <row r="11">
      <c r="A11" s="4" t="inlineStr">
        <is>
          <t>Сервер для офиса</t>
        </is>
      </c>
      <c r="B11" s="4" t="inlineStr">
        <is>
          <t>Сервер для офиса HPE ProLiant DL380 Gen10 Plus Rack 2U 8 SFF | HPE ProLiant DL380 Gen10 Plus Rack 2U 8 SFF (P55281-421) | Intel Xeon Gold 6338 (2GHz/32-core/205W) | Оперативная память HPE 64GB DDR4-3200MHz 3200AA-RB2 | RAID Контроллер HPE P408e-p SR (Ext.) 4gb Cache 12G SAS PCIe (incl.96W Batt) | SSD Накопитель HPE 3.84TB / NVMe / RI / SAS / SSD | Блок питания HPE 800W Flex Slot Platinum Hot Plug</t>
        </is>
      </c>
      <c r="C11" s="5" t="inlineStr">
        <is>
          <t>Гарантия 36 мес.</t>
        </is>
      </c>
      <c r="D11" s="5" t="n">
        <v>326127872</v>
      </c>
      <c r="E11" s="5" t="n">
        <v>291185600</v>
      </c>
      <c r="F11" s="5" t="inlineStr">
        <is>
          <t>HPE</t>
        </is>
      </c>
      <c r="G11" s="5">
        <f>HYPERLINK("https://itrix.uz/configuration/390", "🔗 Купить продукт")</f>
        <v/>
      </c>
      <c r="H11" s="5" t="inlineStr">
        <is>
          <t>1-390-0</t>
        </is>
      </c>
      <c r="I11" t="inlineStr"/>
    </row>
    <row r="12">
      <c r="A12" s="4" t="inlineStr">
        <is>
          <t>Сервер для офиса</t>
        </is>
      </c>
      <c r="B12" s="4" t="inlineStr">
        <is>
          <t>Сервер для офиса HPE ProLiant DL380 Gen10 Plus Rack 2U 8 SFF | Intel Xeon Gold 6338 (2GHz/32-core/205W) | Оперативная память HPE 64GB DDR4-3200MHz 3200AA-RB2 | RAID Контроллер HPE P408e-p SR (Ext.) 4gb Cache 12G SAS PCIe (incl.96W Batt) | SSD Накопитель DELL 3.84TB / SAS / RI / SSD | Блок питания HPE 800W Flex Slot Platinum Hot Plug | HPE ProLiant DL380 Gen10 Plus Rack 2U 8 SFF (P55281-421)</t>
        </is>
      </c>
      <c r="C12" s="5" t="inlineStr">
        <is>
          <t>Гарантия 36 мес.</t>
        </is>
      </c>
      <c r="D12" s="5" t="n">
        <v>294550592</v>
      </c>
      <c r="E12" s="5" t="n">
        <v>262991600</v>
      </c>
      <c r="F12" s="5" t="inlineStr">
        <is>
          <t>HPE</t>
        </is>
      </c>
      <c r="G12" s="5">
        <f>HYPERLINK("https://itrix.uz/configuration/391", "🔗 Купить продукт")</f>
        <v/>
      </c>
      <c r="H12" s="5" t="inlineStr">
        <is>
          <t>1-391-0</t>
        </is>
      </c>
      <c r="I12" t="inlineStr"/>
    </row>
    <row r="13">
      <c r="A13" s="4" t="inlineStr">
        <is>
          <t>Сервер для офиса</t>
        </is>
      </c>
      <c r="B13" s="4" t="inlineStr">
        <is>
          <t>Сервер для офиса HPE ProLiant DL380 Gen10 Plus Rack 2U 8 SFF | Intel Xeon Silver 4310 (2.1GHz/12-Core/120W) | Оперативная память Samsung 64GB DDR4-3200MHz 3200AA | RAID Контроллер HPE P408e-p SR (Ext.) 4gb Cache 12G SAS PCIe (incl.96W Batt) | SSD Накопитель HPE 1.92TB / SATA / RI / SSD | Жесткий диск HPE 2.4TB / SAS / 10000 rpm / SFF / 2.5" HDD | Блок питания HPE 800W Flex Slot Platinum Hot Plug | HPE ProLiant DL380 Gen10 Plus Rack 2U 8 SFF (P55281-421)</t>
        </is>
      </c>
      <c r="C13" s="5" t="inlineStr">
        <is>
          <t>Гарантия 36 мес.</t>
        </is>
      </c>
      <c r="D13" s="5" t="n">
        <v>115612672</v>
      </c>
      <c r="E13" s="5" t="n">
        <v>103225600</v>
      </c>
      <c r="F13" s="5" t="inlineStr">
        <is>
          <t>HPE</t>
        </is>
      </c>
      <c r="G13" s="5">
        <f>HYPERLINK("https://itrix.uz/configuration/392", "🔗 Купить продукт")</f>
        <v/>
      </c>
      <c r="H13" s="5" t="inlineStr">
        <is>
          <t>1-392-0</t>
        </is>
      </c>
      <c r="I13" t="inlineStr"/>
    </row>
    <row r="14">
      <c r="A14" s="4" t="inlineStr">
        <is>
          <t>Файловый сервер</t>
        </is>
      </c>
      <c r="B14" s="4" t="inlineStr">
        <is>
          <t>Файловый сервер HPE ProLiant DL360 Gen9 Rack 1U 8 SFF | HPE ProLiant DL360 Gen9 Rack 1U 8 SFF (848736-B21) | Intel Xeon Silver 4310 (2.1GHz/12-Core/120W) | Samsung 64GB DDR4-2666MHz 2666V-LD2-12-DB1 LRDIMM | RAID Контроллер HPE P408e-p SR (Ext.) 4gb Cache 12G SAS PCIe (incl.96W Batt) | SSD Накопитель HPE 960GB / SATA / RI / SSD | Блок питания HPE 800W Flex Slot Platinum Hot Plug</t>
        </is>
      </c>
      <c r="C14" s="5" t="inlineStr">
        <is>
          <t>Гарантия 36 мес.</t>
        </is>
      </c>
      <c r="D14" s="5" t="n">
        <v>76325984</v>
      </c>
      <c r="E14" s="5" t="n">
        <v>68148200</v>
      </c>
      <c r="F14" s="5" t="inlineStr">
        <is>
          <t>HPE</t>
        </is>
      </c>
      <c r="G14" s="5">
        <f>HYPERLINK("https://itrix.uz/configuration/394", "🔗 Купить продукт")</f>
        <v/>
      </c>
      <c r="H14" s="5" t="inlineStr">
        <is>
          <t>1-394-0</t>
        </is>
      </c>
      <c r="I14" t="inlineStr"/>
    </row>
    <row r="15">
      <c r="A15" s="4" t="inlineStr">
        <is>
          <t>Cервер для 1С</t>
        </is>
      </c>
      <c r="B15" s="4" t="inlineStr">
        <is>
          <t>Сервер для 1С HPE DL380 GEN10 PLUS 8SFF | Intel Xeon Silver 4314 (2.4GHz/16-core/135W) | Оперативная память HPE 32GB DDR4-3200Mhz 3200AA-RB2-12 | RAID Контроллер HPE P408i-a SR (Int.) 2gb Cache 12G SAS PCIe (incl.96W Batt) | HPE ProLiant DL380 Gen10 Plus Rack 2U 8 SFF (P55281-421) | Блок питания HPE 800W Flex Slot Platinum Hot Plug</t>
        </is>
      </c>
      <c r="C15" s="5" t="inlineStr">
        <is>
          <t>Гарантия 36 мес.</t>
        </is>
      </c>
      <c r="D15" s="5" t="n">
        <v>67051936</v>
      </c>
      <c r="E15" s="5" t="n">
        <v>59867800</v>
      </c>
      <c r="F15" s="5" t="inlineStr">
        <is>
          <t>HPE</t>
        </is>
      </c>
      <c r="G15" s="5">
        <f>HYPERLINK("https://itrix.uz/configuration/370", "🔗 Купить продукт")</f>
        <v/>
      </c>
      <c r="H15" s="5" t="inlineStr">
        <is>
          <t>1-370-0</t>
        </is>
      </c>
      <c r="I15" t="inlineStr"/>
    </row>
    <row r="16">
      <c r="A16" s="4" t="inlineStr">
        <is>
          <t>Cервер для 1С</t>
        </is>
      </c>
      <c r="B16" s="4" t="inlineStr">
        <is>
          <t>Сервер для 1С DELL R550 8SFF Rack 2U | Intel Xeon Gold 6326 (2.9GHz/16-core/185W) | Оперативная память Samsung / SK hynix 16GB DDR4-2933MHz | Блок питания DELL 800W G15 Hot-Plug Power Supply | Dell EMC PowerEdge R550 Rack 2U 8 LFF | RAID Контроллер DELL PERC H745 4Gb RAID 12Gb/s</t>
        </is>
      </c>
      <c r="C16" s="5" t="inlineStr">
        <is>
          <t>Гарантия 36 мес.</t>
        </is>
      </c>
      <c r="D16" s="5" t="n">
        <v>66226944</v>
      </c>
      <c r="E16" s="5" t="n">
        <v>59131200</v>
      </c>
      <c r="F16" s="5" t="inlineStr">
        <is>
          <t>Dell</t>
        </is>
      </c>
      <c r="G16" s="5">
        <f>HYPERLINK("https://itrix.uz/configuration/386", "🔗 Купить продукт")</f>
        <v/>
      </c>
      <c r="H16" s="5" t="inlineStr">
        <is>
          <t>1-386-0</t>
        </is>
      </c>
      <c r="I16" t="inlineStr"/>
    </row>
    <row r="17" ht="30" customHeight="1">
      <c r="A17" s="4" t="inlineStr">
        <is>
          <t>Сервер для видеонаблюдения</t>
        </is>
      </c>
      <c r="B17" s="4" t="inlineStr">
        <is>
          <t>Ubiquiti UniFi Cloud Key Gen2 Plus</t>
        </is>
      </c>
      <c r="C17" s="5" t="inlineStr"/>
      <c r="D17" s="5" t="n">
        <v>4390380</v>
      </c>
      <c r="E17" s="5" t="n">
        <v>3919982</v>
      </c>
      <c r="F17" s="5" t="inlineStr"/>
      <c r="G17" s="5">
        <f>HYPERLINK("https://itrix.uz/product/599", "🔗 Купить продукт")</f>
        <v/>
      </c>
      <c r="H17" s="5" t="inlineStr">
        <is>
          <t>1-599-554</t>
        </is>
      </c>
      <c r="I17" t="n">
        <v>3532505</v>
      </c>
    </row>
    <row r="18">
      <c r="A18" s="4" t="inlineStr">
        <is>
          <t>Cервер для 1С</t>
        </is>
      </c>
      <c r="B18" s="4" t="inlineStr">
        <is>
          <t>Сервер для 1С Dell EMC PowerEdge R550 Rack 2U 8 LFF | Dell EMC PowerEdge R550 Rack 2U 8 LFF | Intel Xeon-Silver 4214 (2.2GHz/12-core/85W) | Оперативная память Samsung 32GB DDR4-2133MHz  2133P-RA0-10-DC0 | SSD Накопитель DELL 960GB / SAS / RI / SSD | Блок питания DELL 800W G15 Hot-Plug Power Supply</t>
        </is>
      </c>
      <c r="C18" s="5" t="inlineStr">
        <is>
          <t>Гарантия 36 мес.</t>
        </is>
      </c>
      <c r="D18" s="5" t="n">
        <v>50011584</v>
      </c>
      <c r="E18" s="5" t="n">
        <v>44653200</v>
      </c>
      <c r="F18" s="5" t="inlineStr">
        <is>
          <t>Dell</t>
        </is>
      </c>
      <c r="G18" s="5">
        <f>HYPERLINK("https://itrix.uz/configuration/388", "🔗 Купить продукт")</f>
        <v/>
      </c>
      <c r="H18" s="5" t="inlineStr">
        <is>
          <t>1-388-0</t>
        </is>
      </c>
      <c r="I18" t="inlineStr"/>
    </row>
    <row r="19">
      <c r="A19" s="4" t="inlineStr">
        <is>
          <t>Сервер для офиса</t>
        </is>
      </c>
      <c r="B19" s="4" t="inlineStr">
        <is>
          <t>Сервер для офиса HPE ProLiant DL360 Gen9 Rack 1U 8 SFF | HPE ProLiant DL360 Gen9 Rack 1U 8 SFF (848736-B21) | Intel Xeon Silver 4310 (2.1GHz/12-Core/120W) | Оперативная память HPE 32GB DDR4-3200Mhz 3200AA-RB2-12 | SSD Накопитель HPE 240GB / SATA / RI / SSD | RAID Контроллер HPE P408e-p SR (Ext.) 4gb Cache 12G SAS PCIe (incl.96W Batt) | Блок питания HPE 800W Flex Slot Platinum Hot Plug</t>
        </is>
      </c>
      <c r="C19" s="5" t="inlineStr">
        <is>
          <t>Гарантия 36 мес.</t>
        </is>
      </c>
      <c r="D19" s="5" t="n">
        <v>42728896</v>
      </c>
      <c r="E19" s="5" t="n">
        <v>38150800</v>
      </c>
      <c r="F19" s="5" t="inlineStr">
        <is>
          <t>HPE</t>
        </is>
      </c>
      <c r="G19" s="5">
        <f>HYPERLINK("https://itrix.uz/configuration/393", "🔗 Купить продукт")</f>
        <v/>
      </c>
      <c r="H19" s="5" t="inlineStr">
        <is>
          <t>1-393-0</t>
        </is>
      </c>
      <c r="I19" t="inlineStr"/>
    </row>
    <row r="20">
      <c r="A20" s="4" t="inlineStr">
        <is>
          <t>Файловый сервер</t>
        </is>
      </c>
      <c r="B20" s="4" t="inlineStr">
        <is>
          <t>Файловый сервер HPE ProLiant DL380 Gen10 Rack 2U 8 SFF | HPE ProLiant DL380 Gen10 Rack 2U 8 SFF (P02466-B21) | Intel Xeon-Silver 4214 (2.2GHz/12-core/85W) | Оперативная память HPE 64GB DDR4-3200MHz 3200AA-RB2 | RAID Контроллер HPE P408e-p SR (Ext.) 4gb Cache 12G SAS PCIe (incl.96W Batt) | SSD Накопитель HPE 960GB / SATA / RI / SSD | Блок питания HPE 800W Flex Slot Platinum Hot Plug</t>
        </is>
      </c>
      <c r="C20" s="5" t="inlineStr">
        <is>
          <t>Гарантия 36 мес.</t>
        </is>
      </c>
      <c r="D20" s="5" t="n">
        <v>102526592</v>
      </c>
      <c r="E20" s="5" t="n">
        <v>91541600</v>
      </c>
      <c r="F20" s="5" t="inlineStr">
        <is>
          <t>HPE</t>
        </is>
      </c>
      <c r="G20" s="5">
        <f>HYPERLINK("https://itrix.uz/configuration/395", "🔗 Купить продукт")</f>
        <v/>
      </c>
      <c r="H20" s="5" t="inlineStr">
        <is>
          <t>1-395-0</t>
        </is>
      </c>
      <c r="I20" t="inlineStr"/>
    </row>
    <row r="21">
      <c r="A21" s="4" t="inlineStr">
        <is>
          <t>Сервер для видеонаблюдения</t>
        </is>
      </c>
      <c r="B21" s="4" t="inlineStr">
        <is>
          <t>Сервер для видеонаблюдения Dell EMC PowerEdge R750XS Rack 2U 8 LFF | Dell EMC PowerEdge R750XS Rack 2U 8 LFF (210-AZYQ-056-000) | Intel Xeon Silver 4310 (2.1GHz/12-Core/120W) | Оперативная память Samsung 64GB DDR4-3200MHz 3200AA | SSD Накопитель Intel 480GB S4510 / RI / SATA / SSD | Жёсткий диск DELL 12TB / SAS / 7200 rpm / LFF / 3.5" HDD | RAID Контроллер DELL PERC H755 8Gb RAID  | Блок питания DELL 800W G15 Hot-Plug Power Supply</t>
        </is>
      </c>
      <c r="C21" s="5" t="inlineStr">
        <is>
          <t>Гарантия 36 мес.</t>
        </is>
      </c>
      <c r="D21" s="5" t="n">
        <v>97548192</v>
      </c>
      <c r="E21" s="5" t="n">
        <v>87096600</v>
      </c>
      <c r="F21" s="5" t="inlineStr">
        <is>
          <t>Dell</t>
        </is>
      </c>
      <c r="G21" s="5">
        <f>HYPERLINK("https://itrix.uz/configuration/403", "🔗 Купить продукт")</f>
        <v/>
      </c>
      <c r="H21" s="5" t="inlineStr">
        <is>
          <t>1-403-0</t>
        </is>
      </c>
      <c r="I21" t="inlineStr"/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tabColor rgb="00276255"/>
    <outlinePr summaryBelow="1" summaryRight="1"/>
    <pageSetUpPr/>
  </sheetPr>
  <dimension ref="A1:I14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Межсетевые экраны (брандмауэр)</t>
        </is>
      </c>
      <c r="B2" s="4" t="inlineStr">
        <is>
          <t>Межсетевой экран Fortinet FortiGate 61F</t>
        </is>
      </c>
      <c r="C2" s="5" t="inlineStr"/>
      <c r="D2" s="5" t="n">
        <v>11312063</v>
      </c>
      <c r="E2" s="5" t="n">
        <v>10100056</v>
      </c>
      <c r="F2" s="5" t="n">
        <v>8239125</v>
      </c>
      <c r="G2" s="5" t="inlineStr">
        <is>
          <t>Fortinet</t>
        </is>
      </c>
      <c r="H2" s="5">
        <f>HYPERLINK("https://itrix.uz/product/509", "🔗 Купить продукт")</f>
        <v/>
      </c>
      <c r="I2" t="inlineStr">
        <is>
          <t>5-509-487</t>
        </is>
      </c>
    </row>
    <row r="3" ht="30" customHeight="1">
      <c r="A3" s="4" t="inlineStr">
        <is>
          <t>Межсетевые экраны (брандмауэр)</t>
        </is>
      </c>
      <c r="B3" s="4" t="inlineStr">
        <is>
          <t>Межсетевой экран Zyxel ZyWALL USGFLEX500</t>
        </is>
      </c>
      <c r="C3" s="5" t="inlineStr"/>
      <c r="D3" s="5" t="n">
        <v>33739328</v>
      </c>
      <c r="E3" s="5" t="n">
        <v>30124400</v>
      </c>
      <c r="F3" s="5" t="inlineStr"/>
      <c r="G3" s="5" t="inlineStr">
        <is>
          <t>Zyxel</t>
        </is>
      </c>
      <c r="H3" s="5">
        <f>HYPERLINK("https://itrix.uz/product/228", "🔗 Купить продукт")</f>
        <v/>
      </c>
      <c r="I3" t="inlineStr">
        <is>
          <t>5-228-230</t>
        </is>
      </c>
    </row>
    <row r="4" ht="30" customHeight="1">
      <c r="A4" s="4" t="inlineStr">
        <is>
          <t>Межсетевые экраны (брандмауэр)</t>
        </is>
      </c>
      <c r="B4" s="4" t="inlineStr">
        <is>
          <t>Межсетевой экран Zyxel ZyWALL USGFLEX700</t>
        </is>
      </c>
      <c r="C4" s="5" t="inlineStr"/>
      <c r="D4" s="5" t="n">
        <v>45929296</v>
      </c>
      <c r="E4" s="5" t="n">
        <v>41008300</v>
      </c>
      <c r="F4" s="5" t="inlineStr"/>
      <c r="G4" s="5" t="inlineStr">
        <is>
          <t>Zyxel</t>
        </is>
      </c>
      <c r="H4" s="5">
        <f>HYPERLINK("https://itrix.uz/product/229", "🔗 Купить продукт")</f>
        <v/>
      </c>
      <c r="I4" t="inlineStr">
        <is>
          <t>5-229-231</t>
        </is>
      </c>
    </row>
    <row r="5" ht="30" customHeight="1">
      <c r="A5" s="4" t="inlineStr">
        <is>
          <t>Межсетевые экраны (брандмауэр)</t>
        </is>
      </c>
      <c r="B5" s="4" t="inlineStr">
        <is>
          <t>Межсетевой экран Fortinet FortiGate 80F</t>
        </is>
      </c>
      <c r="C5" s="5" t="inlineStr"/>
      <c r="D5" s="5" t="n">
        <v>20326096</v>
      </c>
      <c r="E5" s="5" t="n">
        <v>18148300</v>
      </c>
      <c r="F5" s="5" t="inlineStr"/>
      <c r="G5" s="5" t="inlineStr">
        <is>
          <t>Fortinet</t>
        </is>
      </c>
      <c r="H5" s="5">
        <f>HYPERLINK("https://itrix.uz/product/510", "🔗 Купить продукт")</f>
        <v/>
      </c>
      <c r="I5" t="inlineStr">
        <is>
          <t>5-510-488</t>
        </is>
      </c>
    </row>
    <row r="6" ht="30" customHeight="1">
      <c r="A6" s="4" t="inlineStr">
        <is>
          <t>Межсетевые экраны (брандмауэр)</t>
        </is>
      </c>
      <c r="B6" s="4" t="inlineStr">
        <is>
          <t>Межсетевой экран Zyxel ZyWALL ATP800</t>
        </is>
      </c>
      <c r="C6" s="5" t="inlineStr"/>
      <c r="D6" s="5" t="n">
        <v>89156032</v>
      </c>
      <c r="E6" s="5" t="n">
        <v>79603600</v>
      </c>
      <c r="F6" s="5" t="inlineStr"/>
      <c r="G6" s="5" t="inlineStr">
        <is>
          <t>Zyxel</t>
        </is>
      </c>
      <c r="H6" s="5">
        <f>HYPERLINK("https://itrix.uz/product/231", "🔗 Купить продукт")</f>
        <v/>
      </c>
      <c r="I6" t="inlineStr">
        <is>
          <t>5-231-233</t>
        </is>
      </c>
    </row>
    <row r="7" ht="30" customHeight="1">
      <c r="A7" s="4" t="inlineStr">
        <is>
          <t>Межсетевые экраны (брандмауэр)</t>
        </is>
      </c>
      <c r="B7" s="4" t="inlineStr">
        <is>
          <t>Межсетевой экран FortiGate 1800F (FG-1800F)</t>
        </is>
      </c>
      <c r="C7" s="5" t="inlineStr"/>
      <c r="D7" s="5" t="n">
        <v>554736000</v>
      </c>
      <c r="E7" s="5" t="n">
        <v>495300000</v>
      </c>
      <c r="F7" s="5" t="inlineStr"/>
      <c r="G7" s="5" t="inlineStr">
        <is>
          <t>Fortinet</t>
        </is>
      </c>
      <c r="H7" s="5">
        <f>HYPERLINK("https://itrix.uz/product/610", "🔗 Купить продукт")</f>
        <v/>
      </c>
      <c r="I7" t="inlineStr">
        <is>
          <t>5-610-564</t>
        </is>
      </c>
    </row>
    <row r="8" ht="30" customHeight="1">
      <c r="A8" s="4" t="inlineStr">
        <is>
          <t>Межсетевые экраны (брандмауэр)</t>
        </is>
      </c>
      <c r="B8" s="4" t="inlineStr">
        <is>
          <t>Межсетевой экран Fortinet FortiGate 100F</t>
        </is>
      </c>
      <c r="C8" s="5" t="inlineStr"/>
      <c r="D8" s="5" t="n">
        <v>35840071</v>
      </c>
      <c r="E8" s="5" t="n">
        <v>32000063</v>
      </c>
      <c r="F8" s="5" t="n">
        <v>24606250</v>
      </c>
      <c r="G8" s="5" t="inlineStr">
        <is>
          <t>Fortinet</t>
        </is>
      </c>
      <c r="H8" s="5">
        <f>HYPERLINK("https://itrix.uz/product/365", "🔗 Купить продукт")</f>
        <v/>
      </c>
      <c r="I8" t="inlineStr">
        <is>
          <t>5-365-370</t>
        </is>
      </c>
    </row>
    <row r="9" ht="30" customHeight="1">
      <c r="A9" s="4" t="inlineStr">
        <is>
          <t>Межсетевые экраны (брандмауэр)</t>
        </is>
      </c>
      <c r="B9" s="4" t="inlineStr">
        <is>
          <t>Межсетевой экран Zyxel ZyWALL ATP700</t>
        </is>
      </c>
      <c r="C9" s="5" t="inlineStr"/>
      <c r="D9" s="5" t="n">
        <v>60793376</v>
      </c>
      <c r="E9" s="5" t="n">
        <v>54279800</v>
      </c>
      <c r="F9" s="5" t="inlineStr"/>
      <c r="G9" s="5" t="inlineStr">
        <is>
          <t>Zyxel</t>
        </is>
      </c>
      <c r="H9" s="5">
        <f>HYPERLINK("https://itrix.uz/product/230", "🔗 Купить продукт")</f>
        <v/>
      </c>
      <c r="I9" t="inlineStr">
        <is>
          <t>5-230-232</t>
        </is>
      </c>
    </row>
    <row r="10" ht="30" customHeight="1">
      <c r="A10" s="4" t="inlineStr">
        <is>
          <t>Межсетевые экраны (брандмауэр)</t>
        </is>
      </c>
      <c r="B10" s="4" t="inlineStr">
        <is>
          <t>Межсетевой экран Fortinet FortiGate 40F</t>
        </is>
      </c>
      <c r="C10" s="5" t="inlineStr"/>
      <c r="D10" s="5" t="n">
        <v>6384016</v>
      </c>
      <c r="E10" s="5" t="n">
        <v>5700014</v>
      </c>
      <c r="F10" s="5" t="n">
        <v>4540250</v>
      </c>
      <c r="G10" s="5" t="inlineStr">
        <is>
          <t>Fortinet</t>
        </is>
      </c>
      <c r="H10" s="5">
        <f>HYPERLINK("https://itrix.uz/product/363", "🔗 Купить продукт")</f>
        <v/>
      </c>
      <c r="I10" t="inlineStr">
        <is>
          <t>5-363-368</t>
        </is>
      </c>
    </row>
    <row r="11" ht="30" customHeight="1">
      <c r="A11" s="4" t="inlineStr">
        <is>
          <t>Межсетевые экраны (брандмауэр)</t>
        </is>
      </c>
      <c r="B11" s="4" t="inlineStr">
        <is>
          <t>Межсетевой экран Fortinet FortiGate 60F</t>
        </is>
      </c>
      <c r="C11" s="5" t="inlineStr"/>
      <c r="D11" s="5" t="n">
        <v>7628900</v>
      </c>
      <c r="E11" s="5" t="n">
        <v>6811518</v>
      </c>
      <c r="F11" s="5" t="n">
        <v>6365875</v>
      </c>
      <c r="G11" s="5" t="inlineStr">
        <is>
          <t>Fortinet</t>
        </is>
      </c>
      <c r="H11" s="5">
        <f>HYPERLINK("https://itrix.uz/product/364", "🔗 Купить продукт")</f>
        <v/>
      </c>
      <c r="I11" t="inlineStr">
        <is>
          <t>5-364-369</t>
        </is>
      </c>
    </row>
    <row r="12" ht="30" customHeight="1">
      <c r="A12" s="4" t="inlineStr">
        <is>
          <t>Межсетевые экраны (брандмауэр)</t>
        </is>
      </c>
      <c r="B12" s="4" t="inlineStr">
        <is>
          <t>Межсетевой экран Zyxel ZyWALL VPN2S</t>
        </is>
      </c>
      <c r="C12" s="5" t="inlineStr"/>
      <c r="D12" s="5" t="n">
        <v>2674112</v>
      </c>
      <c r="E12" s="5" t="n">
        <v>2387600</v>
      </c>
      <c r="F12" s="5" t="inlineStr"/>
      <c r="G12" s="5" t="inlineStr">
        <is>
          <t>Zyxel</t>
        </is>
      </c>
      <c r="H12" s="5">
        <f>HYPERLINK("https://itrix.uz/product/226", "🔗 Купить продукт")</f>
        <v/>
      </c>
      <c r="I12" t="inlineStr">
        <is>
          <t>5-226-228</t>
        </is>
      </c>
    </row>
    <row r="13" ht="30" customHeight="1">
      <c r="A13" s="4" t="inlineStr">
        <is>
          <t>Межсетевые экраны (брандмауэр)</t>
        </is>
      </c>
      <c r="B13" s="4" t="inlineStr">
        <is>
          <t>Межсетевой экран Zyxel ZyWALL USGFLEX100</t>
        </is>
      </c>
      <c r="C13" s="5" t="inlineStr"/>
      <c r="D13" s="5" t="n">
        <v>15916656</v>
      </c>
      <c r="E13" s="5" t="n">
        <v>14211300</v>
      </c>
      <c r="F13" s="5" t="inlineStr"/>
      <c r="G13" s="5" t="inlineStr">
        <is>
          <t>Zyxel</t>
        </is>
      </c>
      <c r="H13" s="5">
        <f>HYPERLINK("https://itrix.uz/product/227", "🔗 Купить продукт")</f>
        <v/>
      </c>
      <c r="I13" t="inlineStr">
        <is>
          <t>5-227-229</t>
        </is>
      </c>
    </row>
    <row r="14" ht="30" customHeight="1">
      <c r="A14" s="4" t="inlineStr">
        <is>
          <t>Межсетевые экраны (брандмауэр)</t>
        </is>
      </c>
      <c r="B14" s="4" t="inlineStr">
        <is>
          <t>Межсетевой экран Cisco FPR1140-NGFW-K9</t>
        </is>
      </c>
      <c r="C14" s="5" t="inlineStr"/>
      <c r="D14" s="5" t="n">
        <v>163362640</v>
      </c>
      <c r="E14" s="5" t="n">
        <v>145859500</v>
      </c>
      <c r="F14" s="5" t="inlineStr"/>
      <c r="G14" s="5" t="inlineStr">
        <is>
          <t>Cisco</t>
        </is>
      </c>
      <c r="H14" s="5">
        <f>HYPERLINK("https://itrix.uz/product/1257", "🔗 Купить продукт")</f>
        <v/>
      </c>
      <c r="I14" t="inlineStr">
        <is>
          <t>5-1257-968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tabColor rgb="004E1A0E"/>
    <outlinePr summaryBelow="1" summaryRight="1"/>
    <pageSetUpPr/>
  </sheetPr>
  <dimension ref="A1:H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6" t="n"/>
      <c r="B1" s="6" t="n"/>
      <c r="C1" s="5" t="n"/>
      <c r="D1" s="5" t="n"/>
      <c r="E1" s="5" t="n"/>
      <c r="F1" s="5" t="n"/>
      <c r="G1" s="5" t="n"/>
      <c r="H1" s="5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A00173"/>
    <outlinePr summaryBelow="1" summaryRight="1"/>
    <pageSetUpPr/>
  </sheetPr>
  <dimension ref="A1:I255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RAID-контроллер</t>
        </is>
      </c>
      <c r="B2" s="4" t="inlineStr">
        <is>
          <t>RAID контроллер HPE Smart Array S100i SR Gen10 SW RAID</t>
        </is>
      </c>
      <c r="C2" s="5" t="inlineStr"/>
      <c r="D2" s="5" t="n">
        <v>1891792</v>
      </c>
      <c r="E2" s="5" t="n">
        <v>1689100</v>
      </c>
      <c r="F2" s="5" t="inlineStr"/>
      <c r="G2" s="5" t="inlineStr">
        <is>
          <t>HPE</t>
        </is>
      </c>
      <c r="H2" s="5">
        <f>HYPERLINK("https://itrix.uz/product/144", "🔗 Купить продукт")</f>
        <v/>
      </c>
      <c r="I2" t="inlineStr">
        <is>
          <t>2-144-150</t>
        </is>
      </c>
    </row>
    <row r="3" ht="30" customHeight="1">
      <c r="A3" s="4" t="inlineStr">
        <is>
          <t>Жёсткие диски SSD</t>
        </is>
      </c>
      <c r="B3" s="4" t="inlineStr">
        <is>
          <t>SSD Накопитель HPE 1.6TB / SAS / MU / SSD</t>
        </is>
      </c>
      <c r="C3" s="5" t="inlineStr"/>
      <c r="D3" s="5" t="n">
        <v>7538720</v>
      </c>
      <c r="E3" s="5" t="n">
        <v>6731000</v>
      </c>
      <c r="F3" s="5" t="inlineStr"/>
      <c r="G3" s="5" t="inlineStr">
        <is>
          <t>HPE</t>
        </is>
      </c>
      <c r="H3" s="5">
        <f>HYPERLINK("https://itrix.uz/product/62", "🔗 Купить продукт")</f>
        <v/>
      </c>
      <c r="I3" t="inlineStr">
        <is>
          <t>2-62-68</t>
        </is>
      </c>
    </row>
    <row r="4" ht="30" customHeight="1">
      <c r="A4" s="4" t="inlineStr">
        <is>
          <t>Аксессуары</t>
        </is>
      </c>
      <c r="B4" s="4" t="inlineStr">
        <is>
          <t xml:space="preserve">Сетевой адаптер P25960-B21 Mellanox MCX623106AS-CDAT Ethernet 100Gb 2-port QSFP56  </t>
        </is>
      </c>
      <c r="C4" s="5" t="inlineStr"/>
      <c r="D4" s="5" t="n">
        <v>10639552</v>
      </c>
      <c r="E4" s="5" t="n">
        <v>9499600</v>
      </c>
      <c r="F4" s="5" t="inlineStr"/>
      <c r="G4" s="5" t="inlineStr"/>
      <c r="H4" s="5">
        <f>HYPERLINK("https://itrix.uz/product/523", "🔗 Купить продукт")</f>
        <v/>
      </c>
      <c r="I4" t="inlineStr">
        <is>
          <t>2-523-497</t>
        </is>
      </c>
    </row>
    <row r="5" ht="30" customHeight="1">
      <c r="A5" s="4" t="inlineStr">
        <is>
          <t>Жёсткие диски SSD</t>
        </is>
      </c>
      <c r="B5" s="4" t="inlineStr">
        <is>
          <t>SSD Накопитель HPE 960GB / SAS / MU / SSD</t>
        </is>
      </c>
      <c r="C5" s="5" t="inlineStr"/>
      <c r="D5" s="5" t="n">
        <v>10269728</v>
      </c>
      <c r="E5" s="5" t="n">
        <v>9169400</v>
      </c>
      <c r="F5" s="5" t="inlineStr"/>
      <c r="G5" s="5" t="inlineStr">
        <is>
          <t>HPE</t>
        </is>
      </c>
      <c r="H5" s="5">
        <f>HYPERLINK("https://itrix.uz/product/63", "🔗 Купить продукт")</f>
        <v/>
      </c>
      <c r="I5" t="inlineStr">
        <is>
          <t>2-63-69</t>
        </is>
      </c>
    </row>
    <row r="6" ht="30" customHeight="1">
      <c r="A6" s="4" t="inlineStr">
        <is>
          <t>Жёсткие диски SSD</t>
        </is>
      </c>
      <c r="B6" s="4" t="inlineStr">
        <is>
          <t>SSD Накопитель HPE 1.92TB / SATA / RI / SSD</t>
        </is>
      </c>
      <c r="C6" s="5" t="inlineStr"/>
      <c r="D6" s="5" t="n">
        <v>16428720</v>
      </c>
      <c r="E6" s="5" t="n">
        <v>14668500</v>
      </c>
      <c r="F6" s="5" t="inlineStr"/>
      <c r="G6" s="5" t="inlineStr">
        <is>
          <t>HPE</t>
        </is>
      </c>
      <c r="H6" s="5">
        <f>HYPERLINK("https://itrix.uz/product/64", "🔗 Купить продукт")</f>
        <v/>
      </c>
      <c r="I6" t="inlineStr">
        <is>
          <t>2-64-70</t>
        </is>
      </c>
    </row>
    <row r="7">
      <c r="A7" s="4" t="inlineStr">
        <is>
          <t>RAID-контроллер</t>
        </is>
      </c>
      <c r="B7" s="4" t="inlineStr">
        <is>
          <t>RAID контроллер HPE MR408i-o Gen11 x8 Lanes 4GB Cache OCP SPDM Storage Controller and Smart Storage Battery</t>
        </is>
      </c>
      <c r="C7" s="5" t="inlineStr"/>
      <c r="D7" s="5" t="n">
        <v>9714992</v>
      </c>
      <c r="E7" s="5" t="n">
        <v>8674100</v>
      </c>
      <c r="F7" s="5" t="inlineStr"/>
      <c r="G7" s="5" t="inlineStr">
        <is>
          <t>HPE</t>
        </is>
      </c>
      <c r="H7" s="5">
        <f>HYPERLINK("https://itrix.uz/product/527", "🔗 Купить продукт")</f>
        <v/>
      </c>
      <c r="I7" t="inlineStr">
        <is>
          <t>2-527-501</t>
        </is>
      </c>
    </row>
    <row r="8" ht="30" customHeight="1">
      <c r="A8" s="4" t="inlineStr">
        <is>
          <t>Блоки питания</t>
        </is>
      </c>
      <c r="B8" s="4" t="inlineStr">
        <is>
          <t>Блок питания Dell Power Supply (1 PSU) 1400W Hot Plug, G15 G16</t>
        </is>
      </c>
      <c r="C8" s="5" t="inlineStr"/>
      <c r="D8" s="5" t="n">
        <v>4366768</v>
      </c>
      <c r="E8" s="5" t="n">
        <v>3898900</v>
      </c>
      <c r="F8" s="5" t="inlineStr"/>
      <c r="G8" s="5" t="inlineStr">
        <is>
          <t>Dell</t>
        </is>
      </c>
      <c r="H8" s="5">
        <f>HYPERLINK("https://itrix.uz/product/159", "🔗 Купить продукт")</f>
        <v/>
      </c>
      <c r="I8" t="inlineStr">
        <is>
          <t>2-159-367</t>
        </is>
      </c>
    </row>
    <row r="9" ht="30" customHeight="1">
      <c r="A9" s="4" t="inlineStr">
        <is>
          <t>Жёсткие диски SSD</t>
        </is>
      </c>
      <c r="B9" s="4" t="inlineStr">
        <is>
          <t>SSD Накопитель HPE 1.92TB / SAS / MU / SSD</t>
        </is>
      </c>
      <c r="C9" s="5" t="inlineStr"/>
      <c r="D9" s="5" t="n">
        <v>18476976</v>
      </c>
      <c r="E9" s="5" t="n">
        <v>16497300</v>
      </c>
      <c r="F9" s="5" t="inlineStr"/>
      <c r="G9" s="5" t="inlineStr">
        <is>
          <t>HPE</t>
        </is>
      </c>
      <c r="H9" s="5">
        <f>HYPERLINK("https://itrix.uz/product/65", "🔗 Купить продукт")</f>
        <v/>
      </c>
      <c r="I9" t="inlineStr">
        <is>
          <t>2-65-71</t>
        </is>
      </c>
    </row>
    <row r="10" ht="30" customHeight="1">
      <c r="A10" s="4" t="inlineStr">
        <is>
          <t>Аксессуары</t>
        </is>
      </c>
      <c r="B10" s="4" t="inlineStr">
        <is>
          <t>HBA-адаптер HPE SN1100Q 16Gb 2-port FC HBA</t>
        </is>
      </c>
      <c r="C10" s="5" t="inlineStr"/>
      <c r="D10" s="5" t="n">
        <v>9586976</v>
      </c>
      <c r="E10" s="5" t="n">
        <v>8559800</v>
      </c>
      <c r="F10" s="5" t="inlineStr"/>
      <c r="G10" s="5" t="inlineStr">
        <is>
          <t>HPE</t>
        </is>
      </c>
      <c r="H10" s="5">
        <f>HYPERLINK("https://itrix.uz/product/103", "🔗 Купить продукт")</f>
        <v/>
      </c>
      <c r="I10" t="inlineStr">
        <is>
          <t>2-103-366</t>
        </is>
      </c>
    </row>
    <row r="11" ht="30" customHeight="1">
      <c r="A11" s="4" t="inlineStr">
        <is>
          <t>Аксессуары</t>
        </is>
      </c>
      <c r="B11" s="4" t="inlineStr">
        <is>
          <t>Комплект направляющих Synology RKS-02</t>
        </is>
      </c>
      <c r="C11" s="5" t="inlineStr"/>
      <c r="D11" s="5" t="n">
        <v>3627120</v>
      </c>
      <c r="E11" s="5" t="n">
        <v>3238500</v>
      </c>
      <c r="F11" s="5" t="inlineStr"/>
      <c r="G11" s="5" t="inlineStr">
        <is>
          <t>Synology</t>
        </is>
      </c>
      <c r="H11" s="5">
        <f>HYPERLINK("https://itrix.uz/product/278", "🔗 Купить продукт")</f>
        <v/>
      </c>
      <c r="I11" t="inlineStr">
        <is>
          <t>2-278-280</t>
        </is>
      </c>
    </row>
    <row r="12" ht="30" customHeight="1">
      <c r="A12" s="4" t="inlineStr">
        <is>
          <t>Жёсткие диски SSD</t>
        </is>
      </c>
      <c r="B12" s="4" t="inlineStr">
        <is>
          <t>SSD Накопитель DELL 1.92TB / SAS / MU / SSD</t>
        </is>
      </c>
      <c r="C12" s="5" t="inlineStr"/>
      <c r="D12" s="5" t="n">
        <v>17794224</v>
      </c>
      <c r="E12" s="5" t="n">
        <v>15887700</v>
      </c>
      <c r="F12" s="5" t="inlineStr"/>
      <c r="G12" s="5" t="inlineStr">
        <is>
          <t>Dell</t>
        </is>
      </c>
      <c r="H12" s="5">
        <f>HYPERLINK("https://itrix.uz/product/66", "🔗 Купить продукт")</f>
        <v/>
      </c>
      <c r="I12" t="inlineStr">
        <is>
          <t>2-66-72</t>
        </is>
      </c>
    </row>
    <row r="13" ht="30" customHeight="1">
      <c r="A13" s="4" t="inlineStr">
        <is>
          <t>Аксессуары</t>
        </is>
      </c>
      <c r="B13" s="4" t="inlineStr">
        <is>
          <t xml:space="preserve">Сетевая карта HPE 530SFP+ 10Gb 2-port PCIe Adapter </t>
        </is>
      </c>
      <c r="C13" s="5" t="inlineStr"/>
      <c r="D13" s="5" t="n">
        <v>3897376</v>
      </c>
      <c r="E13" s="5" t="n">
        <v>3479800</v>
      </c>
      <c r="F13" s="5" t="inlineStr"/>
      <c r="G13" s="5" t="inlineStr">
        <is>
          <t>HPE</t>
        </is>
      </c>
      <c r="H13" s="5">
        <f>HYPERLINK("https://itrix.uz/product/101", "🔗 Купить продукт")</f>
        <v/>
      </c>
      <c r="I13" t="inlineStr">
        <is>
          <t>2-101-107</t>
        </is>
      </c>
    </row>
    <row r="14" ht="30" customHeight="1">
      <c r="A14" s="4" t="inlineStr">
        <is>
          <t>Оперативная память (RAM)</t>
        </is>
      </c>
      <c r="B14" s="4" t="inlineStr">
        <is>
          <t>Оперативная память HPE 32GB DDR4-2933MHz 2933Y-RB2-12</t>
        </is>
      </c>
      <c r="C14" s="5" t="inlineStr"/>
      <c r="D14" s="5" t="n">
        <v>2531872</v>
      </c>
      <c r="E14" s="5" t="n">
        <v>2260600</v>
      </c>
      <c r="F14" s="5" t="inlineStr"/>
      <c r="G14" s="5" t="inlineStr">
        <is>
          <t>HPE</t>
        </is>
      </c>
      <c r="H14" s="5">
        <f>HYPERLINK("https://itrix.uz/product/91", "🔗 Купить продукт")</f>
        <v/>
      </c>
      <c r="I14" t="inlineStr">
        <is>
          <t>2-91-97</t>
        </is>
      </c>
    </row>
    <row r="15" ht="30" customHeight="1">
      <c r="A15" s="4" t="inlineStr">
        <is>
          <t>Жёсткие диски SSD</t>
        </is>
      </c>
      <c r="B15" s="4" t="inlineStr">
        <is>
          <t>SSD Накопитель Intel 2TB DC P4510 Series / NVMe / RI / SAS / SSD</t>
        </is>
      </c>
      <c r="C15" s="5" t="inlineStr"/>
      <c r="D15" s="5" t="n">
        <v>6158992</v>
      </c>
      <c r="E15" s="5" t="n">
        <v>5499100</v>
      </c>
      <c r="F15" s="5" t="inlineStr"/>
      <c r="G15" s="5" t="inlineStr">
        <is>
          <t>Intel</t>
        </is>
      </c>
      <c r="H15" s="5">
        <f>HYPERLINK("https://itrix.uz/product/67", "🔗 Купить продукт")</f>
        <v/>
      </c>
      <c r="I15" t="inlineStr">
        <is>
          <t>2-67-73</t>
        </is>
      </c>
    </row>
    <row r="16" ht="30" customHeight="1">
      <c r="A16" s="4" t="inlineStr">
        <is>
          <t>Жёсткие диски HDD</t>
        </is>
      </c>
      <c r="B16" s="4" t="inlineStr">
        <is>
          <t>Жёсткий диск HPE 1.2TB / SAS / 10000 rpm / SFF / 2.5" HDD</t>
        </is>
      </c>
      <c r="C16" s="5" t="inlineStr"/>
      <c r="D16" s="5" t="n">
        <v>3427984</v>
      </c>
      <c r="E16" s="5" t="n">
        <v>3060700</v>
      </c>
      <c r="F16" s="5" t="inlineStr"/>
      <c r="G16" s="5" t="inlineStr">
        <is>
          <t>HPE</t>
        </is>
      </c>
      <c r="H16" s="5">
        <f>HYPERLINK("https://itrix.uz/product/52", "🔗 Купить продукт")</f>
        <v/>
      </c>
      <c r="I16" t="inlineStr">
        <is>
          <t>2-52-58</t>
        </is>
      </c>
    </row>
    <row r="17" ht="30" customHeight="1">
      <c r="A17" s="4" t="inlineStr">
        <is>
          <t>Аксессуары</t>
        </is>
      </c>
      <c r="B17" s="4" t="inlineStr">
        <is>
          <t>Оптоволоконный кабель HPE 5m OM4 Fiber Channel Optic Cable Enterprise</t>
        </is>
      </c>
      <c r="C17" s="5" t="inlineStr"/>
      <c r="D17" s="5" t="n">
        <v>2048256</v>
      </c>
      <c r="E17" s="5" t="n">
        <v>1828800</v>
      </c>
      <c r="F17" s="5" t="inlineStr"/>
      <c r="G17" s="5" t="inlineStr">
        <is>
          <t>HPE</t>
        </is>
      </c>
      <c r="H17" s="5">
        <f>HYPERLINK("https://itrix.uz/product/107", "🔗 Купить продукт")</f>
        <v/>
      </c>
      <c r="I17" t="inlineStr">
        <is>
          <t>2-107-113</t>
        </is>
      </c>
    </row>
    <row r="18" ht="30" customHeight="1">
      <c r="A18" s="4" t="inlineStr">
        <is>
          <t>Аксессуары</t>
        </is>
      </c>
      <c r="B18" s="4" t="inlineStr">
        <is>
          <t>Вентилятор охлаждения HPE DL360 p/e G8 Fan</t>
        </is>
      </c>
      <c r="C18" s="5" t="inlineStr"/>
      <c r="D18" s="5" t="n">
        <v>412496</v>
      </c>
      <c r="E18" s="5" t="n">
        <v>368300</v>
      </c>
      <c r="F18" s="5" t="inlineStr"/>
      <c r="G18" s="5" t="inlineStr">
        <is>
          <t>HPE</t>
        </is>
      </c>
      <c r="H18" s="5">
        <f>HYPERLINK("https://itrix.uz/product/114", "🔗 Купить продукт")</f>
        <v/>
      </c>
      <c r="I18" t="inlineStr">
        <is>
          <t>2-114-120</t>
        </is>
      </c>
    </row>
    <row r="19" ht="30" customHeight="1">
      <c r="A19" s="4" t="inlineStr">
        <is>
          <t>Жёсткие диски SSD</t>
        </is>
      </c>
      <c r="B19" s="4" t="inlineStr">
        <is>
          <t>SSD Накопитель HPE 3.2TB / SAS / MU / SSD</t>
        </is>
      </c>
      <c r="C19" s="5" t="inlineStr"/>
      <c r="D19" s="5" t="n">
        <v>19159728</v>
      </c>
      <c r="E19" s="5" t="n">
        <v>17106900</v>
      </c>
      <c r="F19" s="5" t="inlineStr"/>
      <c r="G19" s="5" t="inlineStr">
        <is>
          <t>HPE</t>
        </is>
      </c>
      <c r="H19" s="5">
        <f>HYPERLINK("https://itrix.uz/product/74", "🔗 Купить продукт")</f>
        <v/>
      </c>
      <c r="I19" t="inlineStr">
        <is>
          <t>2-74-80</t>
        </is>
      </c>
    </row>
    <row r="20" ht="30" customHeight="1">
      <c r="A20" s="4" t="inlineStr">
        <is>
          <t>Аксессуары</t>
        </is>
      </c>
      <c r="B20" s="4" t="inlineStr">
        <is>
          <t>Переходная плата HPE DL38X Gen10 Plus x8/x16/x8 Secondary Riser Kit</t>
        </is>
      </c>
      <c r="C20" s="5" t="inlineStr"/>
      <c r="D20" s="5" t="n">
        <v>3427984</v>
      </c>
      <c r="E20" s="5" t="n">
        <v>3060700</v>
      </c>
      <c r="F20" s="5" t="inlineStr"/>
      <c r="G20" s="5" t="inlineStr">
        <is>
          <t>HPE</t>
        </is>
      </c>
      <c r="H20" s="5">
        <f>HYPERLINK("https://itrix.uz/product/116", "🔗 Купить продукт")</f>
        <v/>
      </c>
      <c r="I20" t="inlineStr">
        <is>
          <t>2-116-122</t>
        </is>
      </c>
    </row>
    <row r="21" ht="30" customHeight="1">
      <c r="A21" s="4" t="inlineStr">
        <is>
          <t>Жёсткие диски SSD</t>
        </is>
      </c>
      <c r="B21" s="4" t="inlineStr">
        <is>
          <t>SSD Накопитель SAMSUNG 3.84TB PM1643a / SAS / MU / SSD</t>
        </is>
      </c>
      <c r="C21" s="5" t="inlineStr"/>
      <c r="D21" s="5" t="n">
        <v>17196816</v>
      </c>
      <c r="E21" s="5" t="n">
        <v>15354300</v>
      </c>
      <c r="F21" s="5" t="inlineStr"/>
      <c r="G21" s="5" t="inlineStr">
        <is>
          <t>Samsung</t>
        </is>
      </c>
      <c r="H21" s="5">
        <f>HYPERLINK("https://itrix.uz/product/68", "🔗 Купить продукт")</f>
        <v/>
      </c>
      <c r="I21" t="inlineStr">
        <is>
          <t>2-68-74</t>
        </is>
      </c>
    </row>
    <row r="22" ht="30" customHeight="1">
      <c r="A22" s="4" t="inlineStr">
        <is>
          <t>Аксессуары</t>
        </is>
      </c>
      <c r="B22" s="4" t="inlineStr">
        <is>
          <t>HBA-адаптер HPE 32Gb FC 2-port HBA (SN1610Q)</t>
        </is>
      </c>
      <c r="C22" s="5" t="inlineStr"/>
      <c r="D22" s="5" t="n">
        <v>6116320</v>
      </c>
      <c r="E22" s="5" t="n">
        <v>5461000</v>
      </c>
      <c r="F22" s="5" t="inlineStr"/>
      <c r="G22" s="5" t="inlineStr">
        <is>
          <t>HPE</t>
        </is>
      </c>
      <c r="H22" s="5">
        <f>HYPERLINK("https://itrix.uz/product/130", "🔗 Купить продукт")</f>
        <v/>
      </c>
      <c r="I22" t="inlineStr">
        <is>
          <t>2-130-136</t>
        </is>
      </c>
    </row>
    <row r="23" ht="30" customHeight="1">
      <c r="A23" s="4" t="inlineStr">
        <is>
          <t>Аксессуары</t>
        </is>
      </c>
      <c r="B23" s="4" t="inlineStr">
        <is>
          <t xml:space="preserve">Сетевой адаптер HPE Broadcom BCM57412 Ethernet 10Gb 2-port SFP+  </t>
        </is>
      </c>
      <c r="C23" s="5" t="inlineStr"/>
      <c r="D23" s="5" t="n">
        <v>4110736</v>
      </c>
      <c r="E23" s="5" t="n">
        <v>3670300</v>
      </c>
      <c r="F23" s="5" t="inlineStr"/>
      <c r="G23" s="5" t="inlineStr">
        <is>
          <t>HPE</t>
        </is>
      </c>
      <c r="H23" s="5">
        <f>HYPERLINK("https://itrix.uz/product/132", "🔗 Купить продукт")</f>
        <v/>
      </c>
      <c r="I23" t="inlineStr">
        <is>
          <t>2-132-138</t>
        </is>
      </c>
    </row>
    <row r="24" ht="30" customHeight="1">
      <c r="A24" s="4" t="inlineStr">
        <is>
          <t>Жёсткие диски HDD</t>
        </is>
      </c>
      <c r="B24" s="4" t="inlineStr">
        <is>
          <t>Жесткий диск HPE 300GB / SAS / 10000 rpm / SFF / 2.5" HDD</t>
        </is>
      </c>
      <c r="C24" s="5" t="inlineStr"/>
      <c r="D24" s="5" t="n">
        <v>583184</v>
      </c>
      <c r="E24" s="5" t="n">
        <v>520700</v>
      </c>
      <c r="F24" s="5" t="inlineStr"/>
      <c r="G24" s="5" t="inlineStr">
        <is>
          <t>HPE</t>
        </is>
      </c>
      <c r="H24" s="5">
        <f>HYPERLINK("https://itrix.uz/product/47", "🔗 Купить продукт")</f>
        <v/>
      </c>
      <c r="I24" t="inlineStr">
        <is>
          <t>2-47-53</t>
        </is>
      </c>
    </row>
    <row r="25" ht="30" customHeight="1">
      <c r="A25" s="4" t="inlineStr">
        <is>
          <t>Аксессуары</t>
        </is>
      </c>
      <c r="B25" s="4" t="inlineStr">
        <is>
          <t>Радиатор ЦП DELL R440/R540 CPU1 Heatsink</t>
        </is>
      </c>
      <c r="C25" s="5" t="inlineStr"/>
      <c r="D25" s="5" t="n">
        <v>682752</v>
      </c>
      <c r="E25" s="5" t="n">
        <v>609600</v>
      </c>
      <c r="F25" s="5" t="inlineStr"/>
      <c r="G25" s="5" t="inlineStr">
        <is>
          <t>Dell</t>
        </is>
      </c>
      <c r="H25" s="5">
        <f>HYPERLINK("https://itrix.uz/product/126", "🔗 Купить продукт")</f>
        <v/>
      </c>
      <c r="I25" t="inlineStr">
        <is>
          <t>2-126-132</t>
        </is>
      </c>
    </row>
    <row r="26" ht="30" customHeight="1">
      <c r="A26" s="4" t="inlineStr">
        <is>
          <t>Оперативная память (RAM)</t>
        </is>
      </c>
      <c r="B26" s="4" t="inlineStr">
        <is>
          <t>Оперативная память Samsung 32GB DDR4-2933MHz  2933Y-RB2-12-MH1</t>
        </is>
      </c>
      <c r="C26" s="5" t="inlineStr"/>
      <c r="D26" s="5" t="n">
        <v>1778000</v>
      </c>
      <c r="E26" s="5" t="n">
        <v>1587500</v>
      </c>
      <c r="F26" s="5" t="inlineStr"/>
      <c r="G26" s="5" t="inlineStr">
        <is>
          <t>Samsung</t>
        </is>
      </c>
      <c r="H26" s="5">
        <f>HYPERLINK("https://itrix.uz/product/80", "🔗 Купить продукт")</f>
        <v/>
      </c>
      <c r="I26" t="inlineStr">
        <is>
          <t>2-80-86</t>
        </is>
      </c>
    </row>
    <row r="27" ht="30" customHeight="1">
      <c r="A27" s="4" t="inlineStr">
        <is>
          <t>Блоки питания</t>
        </is>
      </c>
      <c r="B27" s="4" t="inlineStr">
        <is>
          <t>Блок питания DELL 800W G15 Hot-Plug Power Supply</t>
        </is>
      </c>
      <c r="C27" s="5" t="inlineStr"/>
      <c r="D27" s="5" t="n">
        <v>2731008</v>
      </c>
      <c r="E27" s="5" t="n">
        <v>2438400</v>
      </c>
      <c r="F27" s="5" t="inlineStr"/>
      <c r="G27" s="5" t="inlineStr">
        <is>
          <t>Dell</t>
        </is>
      </c>
      <c r="H27" s="5">
        <f>HYPERLINK("https://itrix.uz/product/157", "🔗 Купить продукт")</f>
        <v/>
      </c>
      <c r="I27" t="inlineStr">
        <is>
          <t>2-157-163</t>
        </is>
      </c>
    </row>
    <row r="28" ht="30" customHeight="1">
      <c r="A28" s="4" t="inlineStr">
        <is>
          <t>Блоки питания</t>
        </is>
      </c>
      <c r="B28" s="4" t="inlineStr">
        <is>
          <t>Блок питания HPE 1000W Flex Slot Titanium Hot Plug</t>
        </is>
      </c>
      <c r="C28" s="5" t="inlineStr"/>
      <c r="D28" s="5" t="n">
        <v>3058160</v>
      </c>
      <c r="E28" s="5" t="n">
        <v>2730500</v>
      </c>
      <c r="F28" s="5" t="inlineStr"/>
      <c r="G28" s="5" t="inlineStr">
        <is>
          <t>HPE</t>
        </is>
      </c>
      <c r="H28" s="5">
        <f>HYPERLINK("https://itrix.uz/product/155", "🔗 Купить продукт")</f>
        <v/>
      </c>
      <c r="I28" t="inlineStr">
        <is>
          <t>2-155-161</t>
        </is>
      </c>
    </row>
    <row r="29" ht="30" customHeight="1">
      <c r="A29" s="4" t="inlineStr">
        <is>
          <t>Видео карты</t>
        </is>
      </c>
      <c r="B29" s="4" t="inlineStr">
        <is>
          <t>Видеокарта NVIDIA RTX 6000 Ada 48GB GDDR6</t>
        </is>
      </c>
      <c r="C29" s="5" t="inlineStr"/>
      <c r="D29" s="5" t="n">
        <v>159280352</v>
      </c>
      <c r="E29" s="5" t="n">
        <v>142214600</v>
      </c>
      <c r="F29" s="5" t="inlineStr"/>
      <c r="G29" s="5" t="inlineStr">
        <is>
          <t>Nvidia</t>
        </is>
      </c>
      <c r="H29" s="5">
        <f>HYPERLINK("https://itrix.uz/product/501", "🔗 Купить продукт")</f>
        <v/>
      </c>
      <c r="I29" t="inlineStr">
        <is>
          <t>2-501-484</t>
        </is>
      </c>
    </row>
    <row r="30" ht="30" customHeight="1">
      <c r="A30" s="4" t="inlineStr">
        <is>
          <t>Жёсткие диски SSD</t>
        </is>
      </c>
      <c r="B30" s="4" t="inlineStr">
        <is>
          <t>SSD Накопитель Intel 960GB S4610 / MU / SATA / SSD</t>
        </is>
      </c>
      <c r="C30" s="5" t="inlineStr"/>
      <c r="D30" s="5" t="n">
        <v>6116320</v>
      </c>
      <c r="E30" s="5" t="n">
        <v>5461000</v>
      </c>
      <c r="F30" s="5" t="inlineStr"/>
      <c r="G30" s="5" t="inlineStr">
        <is>
          <t>Intel</t>
        </is>
      </c>
      <c r="H30" s="5">
        <f>HYPERLINK("https://itrix.uz/product/69", "🔗 Купить продукт")</f>
        <v/>
      </c>
      <c r="I30" t="inlineStr">
        <is>
          <t>2-69-75</t>
        </is>
      </c>
    </row>
    <row r="31" ht="30" customHeight="1">
      <c r="A31" s="4" t="inlineStr">
        <is>
          <t>Аксессуары</t>
        </is>
      </c>
      <c r="B31" s="4" t="inlineStr">
        <is>
          <t>Дисковая корзина HPE DL380 Gen10 SFF Box1/2 Cage/Backplane Kit</t>
        </is>
      </c>
      <c r="C31" s="5" t="inlineStr"/>
      <c r="D31" s="5" t="n">
        <v>4110736</v>
      </c>
      <c r="E31" s="5" t="n">
        <v>3670300</v>
      </c>
      <c r="F31" s="5" t="inlineStr"/>
      <c r="G31" s="5" t="inlineStr">
        <is>
          <t>HPE</t>
        </is>
      </c>
      <c r="H31" s="5">
        <f>HYPERLINK("https://itrix.uz/product/110", "🔗 Купить продукт")</f>
        <v/>
      </c>
      <c r="I31" t="inlineStr">
        <is>
          <t>2-110-116</t>
        </is>
      </c>
    </row>
    <row r="32" ht="30" customHeight="1">
      <c r="A32" s="4" t="inlineStr">
        <is>
          <t>Аксессуары</t>
        </is>
      </c>
      <c r="B32" s="4" t="inlineStr">
        <is>
          <t>SAS-кабель	Mini-SAS HD External</t>
        </is>
      </c>
      <c r="C32" s="5" t="inlineStr"/>
      <c r="D32" s="5" t="n">
        <v>2133600</v>
      </c>
      <c r="E32" s="5" t="n">
        <v>1905000</v>
      </c>
      <c r="F32" s="5" t="inlineStr"/>
      <c r="G32" s="5" t="inlineStr"/>
      <c r="H32" s="5">
        <f>HYPERLINK("https://itrix.uz/product/519", "🔗 Купить продукт")</f>
        <v/>
      </c>
      <c r="I32" t="inlineStr">
        <is>
          <t>2-519-495</t>
        </is>
      </c>
    </row>
    <row r="33" ht="30" customHeight="1">
      <c r="A33" s="4" t="inlineStr">
        <is>
          <t>Жёсткие диски SSD</t>
        </is>
      </c>
      <c r="B33" s="4" t="inlineStr">
        <is>
          <t>SSD Накопитель SAMSUNG 960GB PM1643a / SAS / MU / SSD</t>
        </is>
      </c>
      <c r="C33" s="5" t="inlineStr"/>
      <c r="D33" s="5" t="n">
        <v>7282688</v>
      </c>
      <c r="E33" s="5" t="n">
        <v>6502400</v>
      </c>
      <c r="F33" s="5" t="inlineStr"/>
      <c r="G33" s="5" t="inlineStr">
        <is>
          <t>Samsung</t>
        </is>
      </c>
      <c r="H33" s="5">
        <f>HYPERLINK("https://itrix.uz/product/70", "🔗 Купить продукт")</f>
        <v/>
      </c>
      <c r="I33" t="inlineStr">
        <is>
          <t>2-70-76</t>
        </is>
      </c>
    </row>
    <row r="34" ht="30" customHeight="1">
      <c r="A34" s="4" t="inlineStr">
        <is>
          <t>Процессоры</t>
        </is>
      </c>
      <c r="B34" s="4" t="inlineStr">
        <is>
          <t>Intel Xeon-Gold 6250 (3.9GHz/8-core/185W)</t>
        </is>
      </c>
      <c r="C34" s="5" t="inlineStr"/>
      <c r="D34" s="5" t="n">
        <v>45175424</v>
      </c>
      <c r="E34" s="5" t="n">
        <v>40335200</v>
      </c>
      <c r="F34" s="5" t="inlineStr"/>
      <c r="G34" s="5" t="inlineStr">
        <is>
          <t>Intel</t>
        </is>
      </c>
      <c r="H34" s="5">
        <f>HYPERLINK("https://itrix.uz/product/354", "🔗 Купить продукт")</f>
        <v/>
      </c>
      <c r="I34" t="inlineStr">
        <is>
          <t>2-354-356</t>
        </is>
      </c>
    </row>
    <row r="35" ht="30" customHeight="1">
      <c r="A35" s="4" t="inlineStr">
        <is>
          <t>Процессоры</t>
        </is>
      </c>
      <c r="B35" s="4" t="inlineStr">
        <is>
          <t>Intel Xeon-Gold 5220R (2.2GHz/24-core/150W)</t>
        </is>
      </c>
      <c r="C35" s="5" t="inlineStr"/>
      <c r="D35" s="5" t="n">
        <v>18946368</v>
      </c>
      <c r="E35" s="5" t="n">
        <v>16916400</v>
      </c>
      <c r="F35" s="5" t="inlineStr"/>
      <c r="G35" s="5" t="inlineStr">
        <is>
          <t>Intel</t>
        </is>
      </c>
      <c r="H35" s="5">
        <f>HYPERLINK("https://itrix.uz/product/346", "🔗 Купить продукт")</f>
        <v/>
      </c>
      <c r="I35" t="inlineStr">
        <is>
          <t>2-346-348</t>
        </is>
      </c>
    </row>
    <row r="36" ht="30" customHeight="1">
      <c r="A36" s="4" t="inlineStr">
        <is>
          <t>Оперативная память (RAM)</t>
        </is>
      </c>
      <c r="B36" s="4" t="inlineStr">
        <is>
          <t>Оперативная память Samsung 16GB DDR4-2666MHz 2666V</t>
        </is>
      </c>
      <c r="C36" s="5" t="inlineStr"/>
      <c r="D36" s="5" t="n">
        <v>1365504</v>
      </c>
      <c r="E36" s="5" t="n">
        <v>1219200</v>
      </c>
      <c r="F36" s="5" t="inlineStr"/>
      <c r="G36" s="5" t="inlineStr">
        <is>
          <t>Samsung</t>
        </is>
      </c>
      <c r="H36" s="5">
        <f>HYPERLINK("https://itrix.uz/product/77", "🔗 Купить продукт")</f>
        <v/>
      </c>
      <c r="I36" t="inlineStr">
        <is>
          <t>2-77-83</t>
        </is>
      </c>
    </row>
    <row r="37" ht="30" customHeight="1">
      <c r="A37" s="4" t="inlineStr">
        <is>
          <t>Жёсткие диски HDD</t>
        </is>
      </c>
      <c r="B37" s="4" t="inlineStr">
        <is>
          <t>Жёсткий диск DELL 16TB / SAS / 7200 rpm / LFF / 3.5" HDD</t>
        </is>
      </c>
      <c r="C37" s="5" t="inlineStr"/>
      <c r="D37" s="5" t="n">
        <v>6158992</v>
      </c>
      <c r="E37" s="5" t="n">
        <v>5499100</v>
      </c>
      <c r="F37" s="5" t="inlineStr"/>
      <c r="G37" s="5" t="inlineStr">
        <is>
          <t>Dell</t>
        </is>
      </c>
      <c r="H37" s="5">
        <f>HYPERLINK("https://itrix.uz/product/41", "🔗 Купить продукт")</f>
        <v/>
      </c>
      <c r="I37" t="inlineStr">
        <is>
          <t>2-41-47</t>
        </is>
      </c>
    </row>
    <row r="38" ht="30" customHeight="1">
      <c r="A38" s="4" t="inlineStr">
        <is>
          <t>Оперативная память (RAM)</t>
        </is>
      </c>
      <c r="B38" s="4" t="inlineStr">
        <is>
          <t>Samsung 64GB DDR4-2666MHz 2666V-LD2-12-DB1 LRDIMM</t>
        </is>
      </c>
      <c r="C38" s="5" t="inlineStr"/>
      <c r="D38" s="5" t="n">
        <v>1337056</v>
      </c>
      <c r="E38" s="5" t="n">
        <v>1193800</v>
      </c>
      <c r="F38" s="5" t="inlineStr"/>
      <c r="G38" s="5" t="inlineStr">
        <is>
          <t>Samsung</t>
        </is>
      </c>
      <c r="H38" s="5">
        <f>HYPERLINK("https://itrix.uz/product/81", "🔗 Купить продукт")</f>
        <v/>
      </c>
      <c r="I38" t="inlineStr">
        <is>
          <t>2-81-87</t>
        </is>
      </c>
    </row>
    <row r="39" ht="30" customHeight="1">
      <c r="A39" s="4" t="inlineStr">
        <is>
          <t>Процессоры</t>
        </is>
      </c>
      <c r="B39" s="4" t="inlineStr">
        <is>
          <t>Intel Xeon Gold 6354 (3.0GHz/18-core/205W)</t>
        </is>
      </c>
      <c r="C39" s="5" t="inlineStr"/>
      <c r="D39" s="5" t="n">
        <v>38475920</v>
      </c>
      <c r="E39" s="5" t="n">
        <v>34353500</v>
      </c>
      <c r="F39" s="5" t="inlineStr"/>
      <c r="G39" s="5" t="inlineStr">
        <is>
          <t>Intel</t>
        </is>
      </c>
      <c r="H39" s="5">
        <f>HYPERLINK("https://itrix.uz/product/362", "🔗 Купить продукт")</f>
        <v/>
      </c>
      <c r="I39" t="inlineStr">
        <is>
          <t>2-362-364</t>
        </is>
      </c>
    </row>
    <row r="40" ht="30" customHeight="1">
      <c r="A40" s="4" t="inlineStr">
        <is>
          <t>Оперативная память (RAM)</t>
        </is>
      </c>
      <c r="B40" s="4" t="inlineStr">
        <is>
          <t>Оперативная память Samsung 64GB DDR4-3200MHz 3200AA</t>
        </is>
      </c>
      <c r="C40" s="5" t="inlineStr"/>
      <c r="D40" s="5" t="n">
        <v>3427984</v>
      </c>
      <c r="E40" s="5" t="n">
        <v>3060700</v>
      </c>
      <c r="F40" s="5" t="inlineStr"/>
      <c r="G40" s="5" t="inlineStr">
        <is>
          <t>Samsung</t>
        </is>
      </c>
      <c r="H40" s="5">
        <f>HYPERLINK("https://itrix.uz/product/82", "🔗 Купить продукт")</f>
        <v/>
      </c>
      <c r="I40" t="inlineStr">
        <is>
          <t>2-82-88</t>
        </is>
      </c>
    </row>
    <row r="41" ht="30" customHeight="1">
      <c r="A41" s="4" t="inlineStr">
        <is>
          <t>Жёсткие диски HDD</t>
        </is>
      </c>
      <c r="B41" s="4" t="inlineStr">
        <is>
          <t>Жесткий диск HPE 1TB / SATA / 7200 rpm / LFF / 3.5" HDD</t>
        </is>
      </c>
      <c r="C41" s="5" t="inlineStr"/>
      <c r="D41" s="5" t="n">
        <v>2631440</v>
      </c>
      <c r="E41" s="5" t="n">
        <v>2349500</v>
      </c>
      <c r="F41" s="5" t="inlineStr"/>
      <c r="G41" s="5" t="inlineStr">
        <is>
          <t>HPE</t>
        </is>
      </c>
      <c r="H41" s="5">
        <f>HYPERLINK("https://itrix.uz/product/44", "🔗 Купить продукт")</f>
        <v/>
      </c>
      <c r="I41" t="inlineStr">
        <is>
          <t>2-44-50</t>
        </is>
      </c>
    </row>
    <row r="42" ht="30" customHeight="1">
      <c r="A42" s="4" t="inlineStr">
        <is>
          <t>Комплектующие</t>
        </is>
      </c>
      <c r="B42" s="4" t="inlineStr">
        <is>
          <t>Dell DW316 External USB Slim DVD±RW Drive</t>
        </is>
      </c>
      <c r="C42" s="5" t="inlineStr"/>
      <c r="D42" s="5" t="n">
        <v>2048256</v>
      </c>
      <c r="E42" s="5" t="n">
        <v>1828800</v>
      </c>
      <c r="F42" s="5" t="inlineStr"/>
      <c r="G42" s="5" t="inlineStr">
        <is>
          <t>Dell</t>
        </is>
      </c>
      <c r="H42" s="5">
        <f>HYPERLINK("https://itrix.uz/product/593", "🔗 Купить продукт")</f>
        <v/>
      </c>
      <c r="I42" t="inlineStr">
        <is>
          <t>2-593-548</t>
        </is>
      </c>
    </row>
    <row r="43" ht="30" customHeight="1">
      <c r="A43" s="4" t="inlineStr">
        <is>
          <t>Комплектующие</t>
        </is>
      </c>
      <c r="B43" s="4" t="inlineStr">
        <is>
          <t>Samsung T9 Portable SSD 4TB (USB 3.2 Gen 2x2)</t>
        </is>
      </c>
      <c r="C43" s="5" t="inlineStr"/>
      <c r="D43" s="5" t="n">
        <v>14821408</v>
      </c>
      <c r="E43" s="5" t="n">
        <v>13233400</v>
      </c>
      <c r="F43" s="5" t="inlineStr"/>
      <c r="G43" s="5" t="inlineStr">
        <is>
          <t>Samsung</t>
        </is>
      </c>
      <c r="H43" s="5">
        <f>HYPERLINK("https://itrix.uz/product/595", "🔗 Купить продукт")</f>
        <v/>
      </c>
      <c r="I43" t="inlineStr">
        <is>
          <t>2-595-550</t>
        </is>
      </c>
    </row>
    <row r="44" ht="30" customHeight="1">
      <c r="A44" s="4" t="inlineStr">
        <is>
          <t>Аксессуары</t>
        </is>
      </c>
      <c r="B44" s="4" t="inlineStr">
        <is>
          <t>DELL 2SFF NVMe Riser R750 Cable</t>
        </is>
      </c>
      <c r="C44" s="5" t="inlineStr"/>
      <c r="D44" s="5" t="n">
        <v>3413760</v>
      </c>
      <c r="E44" s="5" t="n">
        <v>3048000</v>
      </c>
      <c r="F44" s="5" t="inlineStr"/>
      <c r="G44" s="5" t="inlineStr">
        <is>
          <t>Dell</t>
        </is>
      </c>
      <c r="H44" s="5">
        <f>HYPERLINK("https://itrix.uz/product/117", "🔗 Купить продукт")</f>
        <v/>
      </c>
      <c r="I44" t="inlineStr">
        <is>
          <t>2-117-123</t>
        </is>
      </c>
    </row>
    <row r="45" ht="30" customHeight="1">
      <c r="A45" s="4" t="inlineStr">
        <is>
          <t>Процессоры</t>
        </is>
      </c>
      <c r="B45" s="4" t="inlineStr">
        <is>
          <t>Intel Xeon Gold 6326 (2.9GHz/16-core/185W)</t>
        </is>
      </c>
      <c r="C45" s="5" t="inlineStr"/>
      <c r="D45" s="5" t="n">
        <v>21279104</v>
      </c>
      <c r="E45" s="5" t="n">
        <v>18999200</v>
      </c>
      <c r="F45" s="5" t="inlineStr"/>
      <c r="G45" s="5" t="inlineStr">
        <is>
          <t>Intel</t>
        </is>
      </c>
      <c r="H45" s="5">
        <f>HYPERLINK("https://itrix.uz/product/355", "🔗 Купить продукт")</f>
        <v/>
      </c>
      <c r="I45" t="inlineStr">
        <is>
          <t>2-355-357</t>
        </is>
      </c>
    </row>
    <row r="46" ht="30" customHeight="1">
      <c r="A46" s="4" t="inlineStr">
        <is>
          <t>Аксессуары</t>
        </is>
      </c>
      <c r="B46" s="4" t="inlineStr">
        <is>
          <t>Патчкорд оптический LC/UPC-LC/UPC MM (OM4) Duplex Uniboot Flat Clip 3 метрa</t>
        </is>
      </c>
      <c r="C46" s="5" t="inlineStr"/>
      <c r="D46" s="5" t="n">
        <v>113792</v>
      </c>
      <c r="E46" s="5" t="n">
        <v>101600</v>
      </c>
      <c r="F46" s="5" t="inlineStr"/>
      <c r="G46" s="5" t="inlineStr"/>
      <c r="H46" s="5">
        <f>HYPERLINK("https://itrix.uz/product/555", "🔗 Купить продукт")</f>
        <v/>
      </c>
      <c r="I46" t="inlineStr">
        <is>
          <t>2-555-518</t>
        </is>
      </c>
    </row>
    <row r="47" ht="30" customHeight="1">
      <c r="A47" s="4" t="inlineStr">
        <is>
          <t>Жёсткие диски SSD</t>
        </is>
      </c>
      <c r="B47" s="4" t="inlineStr">
        <is>
          <t>SSD Накопитель HPE 3.84TB / SAS / MU / SSD</t>
        </is>
      </c>
      <c r="C47" s="5" t="inlineStr"/>
      <c r="D47" s="5" t="n">
        <v>21904960</v>
      </c>
      <c r="E47" s="5" t="n">
        <v>19558000</v>
      </c>
      <c r="F47" s="5" t="inlineStr"/>
      <c r="G47" s="5" t="inlineStr">
        <is>
          <t>HPE</t>
        </is>
      </c>
      <c r="H47" s="5">
        <f>HYPERLINK("https://itrix.uz/product/71", "🔗 Купить продукт")</f>
        <v/>
      </c>
      <c r="I47" t="inlineStr">
        <is>
          <t>2-71-77</t>
        </is>
      </c>
    </row>
    <row r="48">
      <c r="A48" s="4" t="inlineStr">
        <is>
          <t>Аксессуары</t>
        </is>
      </c>
      <c r="B48" s="4" t="inlineStr">
        <is>
          <t>FS Dell Networking 331-5311 Compatible 10GBASE-SR SFP+ 850nm 300m DOM Duplex LC/UPC MMF Optical Transceiver Module</t>
        </is>
      </c>
      <c r="C48" s="5" t="inlineStr"/>
      <c r="D48" s="5" t="n">
        <v>739648</v>
      </c>
      <c r="E48" s="5" t="n">
        <v>660400</v>
      </c>
      <c r="F48" s="5" t="inlineStr"/>
      <c r="G48" s="5" t="inlineStr">
        <is>
          <t>FS</t>
        </is>
      </c>
      <c r="H48" s="5">
        <f>HYPERLINK("https://itrix.uz/product/576", "🔗 Купить продукт")</f>
        <v/>
      </c>
      <c r="I48" t="inlineStr">
        <is>
          <t>2-576-536</t>
        </is>
      </c>
    </row>
    <row r="49" ht="30" customHeight="1">
      <c r="A49" s="4" t="inlineStr">
        <is>
          <t>Аксессуары</t>
        </is>
      </c>
      <c r="B49" s="4" t="inlineStr">
        <is>
          <t>Дисковая корзина HPE ML110/ML350 Gen10 4LFF Drive Backplane Cage Kit</t>
        </is>
      </c>
      <c r="C49" s="5" t="inlineStr"/>
      <c r="D49" s="5" t="n">
        <v>3143504</v>
      </c>
      <c r="E49" s="5" t="n">
        <v>2806700</v>
      </c>
      <c r="F49" s="5" t="inlineStr"/>
      <c r="G49" s="5" t="inlineStr">
        <is>
          <t>HPE</t>
        </is>
      </c>
      <c r="H49" s="5">
        <f>HYPERLINK("https://itrix.uz/product/104", "🔗 Купить продукт")</f>
        <v/>
      </c>
      <c r="I49" t="inlineStr">
        <is>
          <t>2-104-110</t>
        </is>
      </c>
    </row>
    <row r="50" ht="30" customHeight="1">
      <c r="A50" s="4" t="inlineStr">
        <is>
          <t>Процессоры</t>
        </is>
      </c>
      <c r="B50" s="4" t="inlineStr">
        <is>
          <t>Intel Xeon Gold 6334 (3.6GHz/8-core/165W)</t>
        </is>
      </c>
      <c r="C50" s="5" t="inlineStr"/>
      <c r="D50" s="5" t="n">
        <v>25361392</v>
      </c>
      <c r="E50" s="5" t="n">
        <v>22644100</v>
      </c>
      <c r="F50" s="5" t="inlineStr"/>
      <c r="G50" s="5" t="inlineStr">
        <is>
          <t>Intel</t>
        </is>
      </c>
      <c r="H50" s="5">
        <f>HYPERLINK("https://itrix.uz/product/357", "🔗 Купить продукт")</f>
        <v/>
      </c>
      <c r="I50" t="inlineStr">
        <is>
          <t>2-357-359</t>
        </is>
      </c>
    </row>
    <row r="51" ht="30" customHeight="1">
      <c r="A51" s="4" t="inlineStr">
        <is>
          <t>Процессоры</t>
        </is>
      </c>
      <c r="B51" s="4" t="inlineStr">
        <is>
          <t>Intel Xeon-Gold 6226R (2.9GHz/16-core/150W)</t>
        </is>
      </c>
      <c r="C51" s="5" t="inlineStr"/>
      <c r="D51" s="5" t="n">
        <v>16314928</v>
      </c>
      <c r="E51" s="5" t="n">
        <v>14566900</v>
      </c>
      <c r="F51" s="5" t="inlineStr"/>
      <c r="G51" s="5" t="inlineStr">
        <is>
          <t>Intel</t>
        </is>
      </c>
      <c r="H51" s="5">
        <f>HYPERLINK("https://itrix.uz/product/351", "🔗 Купить продукт")</f>
        <v/>
      </c>
      <c r="I51" t="inlineStr">
        <is>
          <t>2-351-353</t>
        </is>
      </c>
    </row>
    <row r="52" ht="30" customHeight="1">
      <c r="A52" s="4" t="inlineStr">
        <is>
          <t>Процессоры</t>
        </is>
      </c>
      <c r="B52" s="4" t="inlineStr">
        <is>
          <t>Intel Xeon Silver 4309Y 2.8G, 8C, 12M (105W)</t>
        </is>
      </c>
      <c r="C52" s="5" t="inlineStr"/>
      <c r="D52" s="5" t="n">
        <v>8597697</v>
      </c>
      <c r="E52" s="5" t="n">
        <v>7676515</v>
      </c>
      <c r="F52" s="5" t="inlineStr"/>
      <c r="G52" s="5" t="inlineStr">
        <is>
          <t>Intel</t>
        </is>
      </c>
      <c r="H52" s="5">
        <f>HYPERLINK("https://itrix.uz/product/333", "🔗 Купить продукт")</f>
        <v/>
      </c>
      <c r="I52" t="inlineStr">
        <is>
          <t>2-333-335</t>
        </is>
      </c>
    </row>
    <row r="53" ht="30" customHeight="1">
      <c r="A53" s="4" t="inlineStr">
        <is>
          <t>Процессоры</t>
        </is>
      </c>
      <c r="B53" s="4" t="inlineStr">
        <is>
          <t>Intel Xeon Gold 6330 (2.0GHz/28-core/205W)</t>
        </is>
      </c>
      <c r="C53" s="5" t="inlineStr"/>
      <c r="D53" s="5" t="n">
        <v>17794224</v>
      </c>
      <c r="E53" s="5" t="n">
        <v>15887700</v>
      </c>
      <c r="F53" s="5" t="inlineStr"/>
      <c r="G53" s="5" t="inlineStr">
        <is>
          <t>Intel</t>
        </is>
      </c>
      <c r="H53" s="5">
        <f>HYPERLINK("https://itrix.uz/product/356", "🔗 Купить продукт")</f>
        <v/>
      </c>
      <c r="I53" t="inlineStr">
        <is>
          <t>2-356-358</t>
        </is>
      </c>
    </row>
    <row r="54" ht="30" customHeight="1">
      <c r="A54" s="4" t="inlineStr">
        <is>
          <t>Процессоры</t>
        </is>
      </c>
      <c r="B54" s="4" t="inlineStr">
        <is>
          <t>Intel Xeon-Silver 4208 (2.1GHz/8-core/85W)</t>
        </is>
      </c>
      <c r="C54" s="5" t="inlineStr"/>
      <c r="D54" s="5" t="n">
        <v>5473964</v>
      </c>
      <c r="E54" s="5" t="n">
        <v>4887468</v>
      </c>
      <c r="F54" s="5" t="inlineStr"/>
      <c r="G54" s="5" t="inlineStr">
        <is>
          <t>Intel</t>
        </is>
      </c>
      <c r="H54" s="5">
        <f>HYPERLINK("https://itrix.uz/product/334", "🔗 Купить продукт")</f>
        <v/>
      </c>
      <c r="I54" t="inlineStr">
        <is>
          <t>2-334-336</t>
        </is>
      </c>
    </row>
    <row r="55" ht="30" customHeight="1">
      <c r="A55" s="4" t="inlineStr">
        <is>
          <t>Жёсткие диски SSD</t>
        </is>
      </c>
      <c r="B55" s="4" t="inlineStr">
        <is>
          <t>SSD Накопитель DELL 960GB / SAS / RI / SSD</t>
        </is>
      </c>
      <c r="C55" s="5" t="inlineStr"/>
      <c r="D55" s="5" t="n">
        <v>6841744</v>
      </c>
      <c r="E55" s="5" t="n">
        <v>6108700</v>
      </c>
      <c r="F55" s="5" t="inlineStr"/>
      <c r="G55" s="5" t="inlineStr">
        <is>
          <t>Dell</t>
        </is>
      </c>
      <c r="H55" s="5">
        <f>HYPERLINK("https://itrix.uz/product/72", "🔗 Купить продукт")</f>
        <v/>
      </c>
      <c r="I55" t="inlineStr">
        <is>
          <t>2-72-78</t>
        </is>
      </c>
    </row>
    <row r="56" ht="30" customHeight="1">
      <c r="A56" s="4" t="inlineStr">
        <is>
          <t>Процессоры</t>
        </is>
      </c>
      <c r="B56" s="4" t="inlineStr">
        <is>
          <t>Intel Xeon-Gold 5220 (2.2GHz/18-core/125W)</t>
        </is>
      </c>
      <c r="C56" s="5" t="inlineStr"/>
      <c r="D56" s="5" t="n">
        <v>4949952</v>
      </c>
      <c r="E56" s="5" t="n">
        <v>4419600</v>
      </c>
      <c r="F56" s="5" t="inlineStr"/>
      <c r="G56" s="5" t="inlineStr">
        <is>
          <t>Intel</t>
        </is>
      </c>
      <c r="H56" s="5">
        <f>HYPERLINK("https://itrix.uz/product/345", "🔗 Купить продукт")</f>
        <v/>
      </c>
      <c r="I56" t="inlineStr">
        <is>
          <t>2-345-347</t>
        </is>
      </c>
    </row>
    <row r="57" ht="30" customHeight="1">
      <c r="A57" s="4" t="inlineStr">
        <is>
          <t>Аксессуары</t>
        </is>
      </c>
      <c r="B57" s="4" t="inlineStr">
        <is>
          <t>Оптический модуль Dell QSFP-64GFC-SW4 64GB QSFP+ MPO Short Range Transceiver</t>
        </is>
      </c>
      <c r="C57" s="5" t="inlineStr"/>
      <c r="D57" s="5" t="n">
        <v>5689600</v>
      </c>
      <c r="E57" s="5" t="n">
        <v>5080000</v>
      </c>
      <c r="F57" s="5" t="inlineStr"/>
      <c r="G57" s="5" t="inlineStr">
        <is>
          <t>Dell</t>
        </is>
      </c>
      <c r="H57" s="5">
        <f>HYPERLINK("https://itrix.uz/product/579", "🔗 Купить продукт")</f>
        <v/>
      </c>
      <c r="I57" t="inlineStr">
        <is>
          <t>2-579-538</t>
        </is>
      </c>
    </row>
    <row r="58" ht="30" customHeight="1">
      <c r="A58" s="4" t="inlineStr">
        <is>
          <t>Процессоры</t>
        </is>
      </c>
      <c r="B58" s="4" t="inlineStr">
        <is>
          <t>Intel Xeon-Silver 4210 (2.2GHz/10-core/85W)</t>
        </is>
      </c>
      <c r="C58" s="5" t="inlineStr"/>
      <c r="D58" s="5" t="n">
        <v>3934358</v>
      </c>
      <c r="E58" s="5" t="n">
        <v>3512820</v>
      </c>
      <c r="F58" s="5" t="inlineStr"/>
      <c r="G58" s="5" t="inlineStr">
        <is>
          <t>Intel</t>
        </is>
      </c>
      <c r="H58" s="5">
        <f>HYPERLINK("https://itrix.uz/product/335", "🔗 Купить продукт")</f>
        <v/>
      </c>
      <c r="I58" t="inlineStr">
        <is>
          <t>2-335-337</t>
        </is>
      </c>
    </row>
    <row r="59" ht="30" customHeight="1">
      <c r="A59" s="4" t="inlineStr">
        <is>
          <t>Процессоры</t>
        </is>
      </c>
      <c r="B59" s="4" t="inlineStr">
        <is>
          <t>Intel Xeon-Silver 4210R (2.4GHz/10-core/100W)</t>
        </is>
      </c>
      <c r="C59" s="5" t="inlineStr"/>
      <c r="D59" s="5" t="n">
        <v>6158992</v>
      </c>
      <c r="E59" s="5" t="n">
        <v>5499100</v>
      </c>
      <c r="F59" s="5" t="inlineStr"/>
      <c r="G59" s="5" t="inlineStr">
        <is>
          <t>Intel</t>
        </is>
      </c>
      <c r="H59" s="5">
        <f>HYPERLINK("https://itrix.uz/product/336", "🔗 Купить продукт")</f>
        <v/>
      </c>
      <c r="I59" t="inlineStr">
        <is>
          <t>2-336-338</t>
        </is>
      </c>
    </row>
    <row r="60" ht="30" customHeight="1">
      <c r="A60" s="4" t="inlineStr">
        <is>
          <t>Аксессуары</t>
        </is>
      </c>
      <c r="B60" s="4" t="inlineStr">
        <is>
          <t>Оптический модуль SFP-64G31-LWL 64G SFP+ LW 1310nm 10km LC SMF DDM Transceiver Module</t>
        </is>
      </c>
      <c r="C60" s="5" t="inlineStr"/>
      <c r="D60" s="5" t="n">
        <v>14622272</v>
      </c>
      <c r="E60" s="5" t="n">
        <v>13055600</v>
      </c>
      <c r="F60" s="5" t="inlineStr"/>
      <c r="G60" s="5" t="inlineStr"/>
      <c r="H60" s="5">
        <f>HYPERLINK("https://itrix.uz/product/580", "🔗 Купить продукт")</f>
        <v/>
      </c>
      <c r="I60" t="inlineStr">
        <is>
          <t>2-580-539</t>
        </is>
      </c>
    </row>
    <row r="61" ht="30" customHeight="1">
      <c r="A61" s="4" t="inlineStr">
        <is>
          <t>Процессоры</t>
        </is>
      </c>
      <c r="B61" s="4" t="inlineStr">
        <is>
          <t>Intel Xeon Silver 4314 (2.4GHz/16-core/135W)</t>
        </is>
      </c>
      <c r="C61" s="5" t="inlineStr"/>
      <c r="D61" s="5" t="n">
        <v>10269728</v>
      </c>
      <c r="E61" s="5" t="n">
        <v>9169400</v>
      </c>
      <c r="F61" s="5" t="inlineStr"/>
      <c r="G61" s="5" t="inlineStr">
        <is>
          <t>Intel</t>
        </is>
      </c>
      <c r="H61" s="5">
        <f>HYPERLINK("https://itrix.uz/product/341", "🔗 Купить продукт")</f>
        <v/>
      </c>
      <c r="I61" t="inlineStr">
        <is>
          <t>2-341-343</t>
        </is>
      </c>
    </row>
    <row r="62" ht="30" customHeight="1">
      <c r="A62" s="4" t="inlineStr">
        <is>
          <t>Жёсткие диски HDD</t>
        </is>
      </c>
      <c r="B62" s="4" t="inlineStr">
        <is>
          <t>Жёсткий диск DELL 12TB / SAS / 7200 rpm / LFF / 3.5" HDD</t>
        </is>
      </c>
      <c r="C62" s="5" t="inlineStr"/>
      <c r="D62" s="5" t="n">
        <v>5817616</v>
      </c>
      <c r="E62" s="5" t="n">
        <v>5194300</v>
      </c>
      <c r="F62" s="5" t="inlineStr"/>
      <c r="G62" s="5" t="inlineStr">
        <is>
          <t>Dell</t>
        </is>
      </c>
      <c r="H62" s="5">
        <f>HYPERLINK("https://itrix.uz/product/37", "🔗 Купить продукт")</f>
        <v/>
      </c>
      <c r="I62" t="inlineStr">
        <is>
          <t>2-37-43</t>
        </is>
      </c>
    </row>
    <row r="63" ht="30" customHeight="1">
      <c r="A63" s="4" t="inlineStr">
        <is>
          <t>Процессоры</t>
        </is>
      </c>
      <c r="B63" s="4" t="inlineStr">
        <is>
          <t>Intel Xeon Silver 4310 (2.1GHz/12-Core/120W)</t>
        </is>
      </c>
      <c r="C63" s="5" t="inlineStr"/>
      <c r="D63" s="5" t="n">
        <v>8306816</v>
      </c>
      <c r="E63" s="5" t="n">
        <v>7416800</v>
      </c>
      <c r="F63" s="5" t="inlineStr"/>
      <c r="G63" s="5" t="inlineStr">
        <is>
          <t>Intel</t>
        </is>
      </c>
      <c r="H63" s="5">
        <f>HYPERLINK("https://itrix.uz/product/340", "🔗 Купить продукт")</f>
        <v/>
      </c>
      <c r="I63" t="inlineStr">
        <is>
          <t>2-340-342</t>
        </is>
      </c>
    </row>
    <row r="64" ht="30" customHeight="1">
      <c r="A64" s="4" t="inlineStr">
        <is>
          <t>Процессоры</t>
        </is>
      </c>
      <c r="B64" s="4" t="inlineStr">
        <is>
          <t>Intel Xeon-Gold 5218R (2.1GHz/20-core/125W)</t>
        </is>
      </c>
      <c r="C64" s="5" t="inlineStr"/>
      <c r="D64" s="5" t="n">
        <v>12317984</v>
      </c>
      <c r="E64" s="5" t="n">
        <v>10998200</v>
      </c>
      <c r="F64" s="5" t="inlineStr"/>
      <c r="G64" s="5" t="inlineStr">
        <is>
          <t>Intel</t>
        </is>
      </c>
      <c r="H64" s="5">
        <f>HYPERLINK("https://itrix.uz/product/344", "🔗 Купить продукт")</f>
        <v/>
      </c>
      <c r="I64" t="inlineStr">
        <is>
          <t>2-344-346</t>
        </is>
      </c>
    </row>
    <row r="65" ht="30" customHeight="1">
      <c r="A65" s="4" t="inlineStr">
        <is>
          <t>Процессоры</t>
        </is>
      </c>
      <c r="B65" s="4" t="inlineStr">
        <is>
          <t>Intel Xeon-Silver 4214 (2.2GHz/12-core/85W)</t>
        </is>
      </c>
      <c r="C65" s="5" t="inlineStr"/>
      <c r="D65" s="5" t="n">
        <v>2773680</v>
      </c>
      <c r="E65" s="5" t="n">
        <v>2476500</v>
      </c>
      <c r="F65" s="5" t="inlineStr"/>
      <c r="G65" s="5" t="inlineStr">
        <is>
          <t>Intel</t>
        </is>
      </c>
      <c r="H65" s="5">
        <f>HYPERLINK("https://itrix.uz/product/337", "🔗 Купить продукт")</f>
        <v/>
      </c>
      <c r="I65" t="inlineStr">
        <is>
          <t>2-337-339</t>
        </is>
      </c>
    </row>
    <row r="66" ht="30" customHeight="1">
      <c r="A66" s="4" t="inlineStr">
        <is>
          <t>Процессоры</t>
        </is>
      </c>
      <c r="B66" s="4" t="inlineStr">
        <is>
          <t>Intel Xeon-Silver 4214R (2.4GHz/12-core/100W)</t>
        </is>
      </c>
      <c r="C66" s="5" t="inlineStr"/>
      <c r="D66" s="5" t="n">
        <v>9586976</v>
      </c>
      <c r="E66" s="5" t="n">
        <v>8559800</v>
      </c>
      <c r="F66" s="5" t="inlineStr"/>
      <c r="G66" s="5" t="inlineStr">
        <is>
          <t>Intel</t>
        </is>
      </c>
      <c r="H66" s="5">
        <f>HYPERLINK("https://itrix.uz/product/338", "🔗 Купить продукт")</f>
        <v/>
      </c>
      <c r="I66" t="inlineStr">
        <is>
          <t>2-338-340</t>
        </is>
      </c>
    </row>
    <row r="67" ht="30" customHeight="1">
      <c r="A67" s="4" t="inlineStr">
        <is>
          <t>Жёсткие диски SSD</t>
        </is>
      </c>
      <c r="B67" s="4" t="inlineStr">
        <is>
          <t>SSD накопитель Samsung PM983 7.68TB SATA 6Gbps 2.5inch SSD</t>
        </is>
      </c>
      <c r="C67" s="5" t="inlineStr"/>
      <c r="D67" s="5" t="n">
        <v>11521440</v>
      </c>
      <c r="E67" s="5" t="n">
        <v>10287000</v>
      </c>
      <c r="F67" s="5" t="inlineStr"/>
      <c r="G67" s="5" t="inlineStr">
        <is>
          <t>Samsung</t>
        </is>
      </c>
      <c r="H67" s="5">
        <f>HYPERLINK("https://itrix.uz/product/529", "🔗 Купить продукт")</f>
        <v/>
      </c>
      <c r="I67" t="inlineStr">
        <is>
          <t>2-529-502</t>
        </is>
      </c>
    </row>
    <row r="68" ht="30" customHeight="1">
      <c r="A68" s="4" t="inlineStr">
        <is>
          <t>Процессоры</t>
        </is>
      </c>
      <c r="B68" s="4" t="inlineStr">
        <is>
          <t>Intel Xeon Gold 6338 (2GHz/32-core/205W)</t>
        </is>
      </c>
      <c r="C68" s="5" t="inlineStr"/>
      <c r="D68" s="5" t="n">
        <v>30894528</v>
      </c>
      <c r="E68" s="5" t="n">
        <v>27584400</v>
      </c>
      <c r="F68" s="5" t="inlineStr"/>
      <c r="G68" s="5" t="inlineStr">
        <is>
          <t>Intel</t>
        </is>
      </c>
      <c r="H68" s="5">
        <f>HYPERLINK("https://itrix.uz/product/358", "🔗 Купить продукт")</f>
        <v/>
      </c>
      <c r="I68" t="inlineStr">
        <is>
          <t>2-358-360</t>
        </is>
      </c>
    </row>
    <row r="69">
      <c r="A69" s="4" t="inlineStr">
        <is>
          <t>Аксессуары</t>
        </is>
      </c>
      <c r="B69" s="4" t="inlineStr">
        <is>
          <t>1m (3ft) LC UPC to LC UPC Duplex OS2 Single Mode Indoor Armored Riser (OFCR) 3.0mm Fiber Optic Patch Cable</t>
        </is>
      </c>
      <c r="C69" s="5" t="inlineStr"/>
      <c r="D69" s="5" t="n">
        <v>1564640</v>
      </c>
      <c r="E69" s="5" t="n">
        <v>1397000</v>
      </c>
      <c r="F69" s="5" t="inlineStr"/>
      <c r="G69" s="5" t="inlineStr"/>
      <c r="H69" s="5">
        <f>HYPERLINK("https://itrix.uz/product/581", "🔗 Купить продукт")</f>
        <v/>
      </c>
      <c r="I69" t="inlineStr">
        <is>
          <t>2-581-540</t>
        </is>
      </c>
    </row>
    <row r="70" ht="30" customHeight="1">
      <c r="A70" s="4" t="inlineStr">
        <is>
          <t>Процессоры</t>
        </is>
      </c>
      <c r="B70" s="4" t="inlineStr">
        <is>
          <t>Intel Xeon Silver 4316 (2.3GHz/20-core/150W)</t>
        </is>
      </c>
      <c r="C70" s="5" t="inlineStr"/>
      <c r="D70" s="5" t="n">
        <v>17922240</v>
      </c>
      <c r="E70" s="5" t="n">
        <v>16002000</v>
      </c>
      <c r="F70" s="5" t="inlineStr"/>
      <c r="G70" s="5" t="inlineStr">
        <is>
          <t>Intel</t>
        </is>
      </c>
      <c r="H70" s="5">
        <f>HYPERLINK("https://itrix.uz/product/342", "🔗 Купить продукт")</f>
        <v/>
      </c>
      <c r="I70" t="inlineStr">
        <is>
          <t>2-342-344</t>
        </is>
      </c>
    </row>
    <row r="71" ht="30" customHeight="1">
      <c r="A71" s="4" t="inlineStr">
        <is>
          <t>Аксессуары</t>
        </is>
      </c>
      <c r="B71" s="4" t="inlineStr">
        <is>
          <t>Сетевой адаптер HPE Mellanox MCX631102AS-ADAT Ethernet 10/25Gb 2-port SFP</t>
        </is>
      </c>
      <c r="C71" s="5" t="inlineStr"/>
      <c r="D71" s="5" t="n">
        <v>7282688</v>
      </c>
      <c r="E71" s="5" t="n">
        <v>6502400</v>
      </c>
      <c r="F71" s="5" t="inlineStr"/>
      <c r="G71" s="5" t="inlineStr">
        <is>
          <t>HPE</t>
        </is>
      </c>
      <c r="H71" s="5">
        <f>HYPERLINK("https://itrix.uz/product/136", "🔗 Купить продукт")</f>
        <v/>
      </c>
      <c r="I71" t="inlineStr">
        <is>
          <t>2-136-142</t>
        </is>
      </c>
    </row>
    <row r="72" ht="30" customHeight="1">
      <c r="A72" s="4" t="inlineStr">
        <is>
          <t>Жёсткие диски SSD</t>
        </is>
      </c>
      <c r="B72" s="4" t="inlineStr">
        <is>
          <t>SSD Накопитель DELL 1.92TB / SATA / RI / SSD</t>
        </is>
      </c>
      <c r="C72" s="5" t="inlineStr"/>
      <c r="D72" s="5" t="n">
        <v>11635232</v>
      </c>
      <c r="E72" s="5" t="n">
        <v>10388600</v>
      </c>
      <c r="F72" s="5" t="inlineStr"/>
      <c r="G72" s="5" t="inlineStr">
        <is>
          <t>Dell</t>
        </is>
      </c>
      <c r="H72" s="5">
        <f>HYPERLINK("https://itrix.uz/product/54", "🔗 Купить продукт")</f>
        <v/>
      </c>
      <c r="I72" t="inlineStr">
        <is>
          <t>2-54-60</t>
        </is>
      </c>
    </row>
    <row r="73" ht="30" customHeight="1">
      <c r="A73" s="4" t="inlineStr">
        <is>
          <t>Процессоры</t>
        </is>
      </c>
      <c r="B73" s="4" t="inlineStr">
        <is>
          <t>Intel Xeon Gold 5315Y (3.2GHz/8-core/140W)</t>
        </is>
      </c>
      <c r="C73" s="5" t="inlineStr"/>
      <c r="D73" s="5" t="n">
        <v>19828256</v>
      </c>
      <c r="E73" s="5" t="n">
        <v>17703800</v>
      </c>
      <c r="F73" s="5" t="inlineStr"/>
      <c r="G73" s="5" t="inlineStr">
        <is>
          <t>Intel</t>
        </is>
      </c>
      <c r="H73" s="5">
        <f>HYPERLINK("https://itrix.uz/product/347", "🔗 Купить продукт")</f>
        <v/>
      </c>
      <c r="I73" t="inlineStr">
        <is>
          <t>2-347-349</t>
        </is>
      </c>
    </row>
    <row r="74" ht="30" customHeight="1">
      <c r="A74" s="4" t="inlineStr">
        <is>
          <t>Жёсткие диски HDD</t>
        </is>
      </c>
      <c r="B74" s="4" t="inlineStr">
        <is>
          <t>Жёсткий диск WD Red Plus 4TB / SATA III / 5400 rpm / 3.5" HDD</t>
        </is>
      </c>
      <c r="C74" s="5" t="inlineStr"/>
      <c r="D74" s="5" t="n">
        <v>1778000</v>
      </c>
      <c r="E74" s="5" t="n">
        <v>1587500</v>
      </c>
      <c r="F74" s="5" t="inlineStr"/>
      <c r="G74" s="5" t="inlineStr">
        <is>
          <t>Western Digital</t>
        </is>
      </c>
      <c r="H74" s="5">
        <f>HYPERLINK("https://itrix.uz/product/39", "🔗 Купить продукт")</f>
        <v/>
      </c>
      <c r="I74" t="inlineStr">
        <is>
          <t>2-39-45</t>
        </is>
      </c>
    </row>
    <row r="75" ht="30" customHeight="1">
      <c r="A75" s="4" t="inlineStr">
        <is>
          <t>NVME</t>
        </is>
      </c>
      <c r="B75" s="4" t="inlineStr">
        <is>
          <t>1.6TB PCI-e NVMe / Mix Use / Express Flash / PCI-e 4.0</t>
        </is>
      </c>
      <c r="C75" s="5" t="inlineStr"/>
      <c r="D75" s="5" t="n">
        <v>10198608</v>
      </c>
      <c r="E75" s="5" t="n">
        <v>9105900</v>
      </c>
      <c r="F75" s="5" t="inlineStr"/>
      <c r="G75" s="5" t="inlineStr">
        <is>
          <t>Dell</t>
        </is>
      </c>
      <c r="H75" s="5">
        <f>HYPERLINK("https://itrix.uz/product/96", "🔗 Купить продукт")</f>
        <v/>
      </c>
      <c r="I75" t="inlineStr">
        <is>
          <t>2-96-102</t>
        </is>
      </c>
    </row>
    <row r="76" ht="30" customHeight="1">
      <c r="A76" s="4" t="inlineStr">
        <is>
          <t>Жёсткие диски HDD</t>
        </is>
      </c>
      <c r="B76" s="4" t="inlineStr">
        <is>
          <t>Жесткий диск HPE 2.4TB / SAS / 10000 rpm / SFF / 2.5" HDD</t>
        </is>
      </c>
      <c r="C76" s="5" t="inlineStr"/>
      <c r="D76" s="5" t="n">
        <v>4110736</v>
      </c>
      <c r="E76" s="5" t="n">
        <v>3670300</v>
      </c>
      <c r="F76" s="5" t="inlineStr"/>
      <c r="G76" s="5" t="inlineStr">
        <is>
          <t>HPE</t>
        </is>
      </c>
      <c r="H76" s="5">
        <f>HYPERLINK("https://itrix.uz/product/42", "🔗 Купить продукт")</f>
        <v/>
      </c>
      <c r="I76" t="inlineStr">
        <is>
          <t>2-42-48</t>
        </is>
      </c>
    </row>
    <row r="77">
      <c r="A77" s="4" t="inlineStr">
        <is>
          <t>Оперативная память (RAM)</t>
        </is>
      </c>
      <c r="B77" s="4" t="inlineStr">
        <is>
          <t>Оперативная память HPE 128GB (1x128GB) Dual Rank x4 DDR5-6400 CAS-46-45-45 EC8 Registered Smart Memory Kit</t>
        </is>
      </c>
      <c r="C77" s="5" t="inlineStr"/>
      <c r="D77" s="5" t="n">
        <v>29159200</v>
      </c>
      <c r="E77" s="5" t="n">
        <v>26035000</v>
      </c>
      <c r="F77" s="5" t="inlineStr"/>
      <c r="G77" s="5" t="inlineStr"/>
      <c r="H77" s="5">
        <f>HYPERLINK("https://itrix.uz/product/539", "🔗 Купить продукт")</f>
        <v/>
      </c>
      <c r="I77" t="inlineStr">
        <is>
          <t>2-539-504</t>
        </is>
      </c>
    </row>
    <row r="78" ht="30" customHeight="1">
      <c r="A78" s="4" t="inlineStr">
        <is>
          <t>Жёсткие диски SSD</t>
        </is>
      </c>
      <c r="B78" s="4" t="inlineStr">
        <is>
          <t>SSD Накопитель HPE 960GB / SATA / RI / SSD</t>
        </is>
      </c>
      <c r="C78" s="5" t="inlineStr"/>
      <c r="D78" s="5" t="n">
        <v>5291328</v>
      </c>
      <c r="E78" s="5" t="n">
        <v>4724400</v>
      </c>
      <c r="F78" s="5" t="inlineStr"/>
      <c r="G78" s="5" t="inlineStr">
        <is>
          <t>HPE</t>
        </is>
      </c>
      <c r="H78" s="5">
        <f>HYPERLINK("https://itrix.uz/product/73", "🔗 Купить продукт")</f>
        <v/>
      </c>
      <c r="I78" t="inlineStr">
        <is>
          <t>2-73-79</t>
        </is>
      </c>
    </row>
    <row r="79" ht="30" customHeight="1">
      <c r="A79" s="4" t="inlineStr">
        <is>
          <t>Оперативная память (RAM)</t>
        </is>
      </c>
      <c r="B79" s="4" t="inlineStr">
        <is>
          <t>Оперативная память Samsung 32GB DDR4-3200MHz UDIMM</t>
        </is>
      </c>
      <c r="C79" s="5" t="inlineStr"/>
      <c r="D79" s="5" t="n">
        <v>2745232</v>
      </c>
      <c r="E79" s="5" t="n">
        <v>2451100</v>
      </c>
      <c r="F79" s="5" t="inlineStr"/>
      <c r="G79" s="5" t="inlineStr">
        <is>
          <t>Samsung</t>
        </is>
      </c>
      <c r="H79" s="5">
        <f>HYPERLINK("https://itrix.uz/product/78", "🔗 Купить продукт")</f>
        <v/>
      </c>
      <c r="I79" t="inlineStr">
        <is>
          <t>2-78-84</t>
        </is>
      </c>
    </row>
    <row r="80" ht="30" customHeight="1">
      <c r="A80" s="4" t="inlineStr">
        <is>
          <t>Жёсткие диски HDD</t>
        </is>
      </c>
      <c r="B80" s="4" t="inlineStr">
        <is>
          <t>Жёсткий диск Seagate Exos X16 12TB / SATA / 7200 rpm / LFF / 3.5" HDD</t>
        </is>
      </c>
      <c r="C80" s="5" t="inlineStr"/>
      <c r="D80" s="5" t="n">
        <v>5277104</v>
      </c>
      <c r="E80" s="5" t="n">
        <v>4711700</v>
      </c>
      <c r="F80" s="5" t="inlineStr"/>
      <c r="G80" s="5" t="inlineStr">
        <is>
          <t>Seagate</t>
        </is>
      </c>
      <c r="H80" s="5">
        <f>HYPERLINK("https://itrix.uz/product/43", "🔗 Купить продукт")</f>
        <v/>
      </c>
      <c r="I80" t="inlineStr">
        <is>
          <t>2-43-49</t>
        </is>
      </c>
    </row>
    <row r="81" ht="30" customHeight="1">
      <c r="A81" s="4" t="inlineStr">
        <is>
          <t>Жёсткие диски HDD</t>
        </is>
      </c>
      <c r="B81" s="4" t="inlineStr">
        <is>
          <t>Жесткий диск DELL 2TB / SAS / 7200 rpm / LFF / 3.5" HDD</t>
        </is>
      </c>
      <c r="C81" s="5" t="inlineStr"/>
      <c r="D81" s="5" t="n">
        <v>2745232</v>
      </c>
      <c r="E81" s="5" t="n">
        <v>2451100</v>
      </c>
      <c r="F81" s="5" t="inlineStr"/>
      <c r="G81" s="5" t="inlineStr">
        <is>
          <t>Dell</t>
        </is>
      </c>
      <c r="H81" s="5">
        <f>HYPERLINK("https://itrix.uz/product/46", "🔗 Купить продукт")</f>
        <v/>
      </c>
      <c r="I81" t="inlineStr">
        <is>
          <t>2-46-52</t>
        </is>
      </c>
    </row>
    <row r="82" ht="30" customHeight="1">
      <c r="A82" s="4" t="inlineStr">
        <is>
          <t>Оперативная память (RAM)</t>
        </is>
      </c>
      <c r="B82" s="4" t="inlineStr">
        <is>
          <t>Оперативная память HPE 32GB DDR4-3200Mhz 3200AA-RB2-12</t>
        </is>
      </c>
      <c r="C82" s="5" t="inlineStr"/>
      <c r="D82" s="5" t="n">
        <v>1607312</v>
      </c>
      <c r="E82" s="5" t="n">
        <v>1435100</v>
      </c>
      <c r="F82" s="5" t="inlineStr"/>
      <c r="G82" s="5" t="inlineStr">
        <is>
          <t>HPE</t>
        </is>
      </c>
      <c r="H82" s="5">
        <f>HYPERLINK("https://itrix.uz/product/88", "🔗 Купить продукт")</f>
        <v/>
      </c>
      <c r="I82" t="inlineStr">
        <is>
          <t>2-88-94</t>
        </is>
      </c>
    </row>
    <row r="83" ht="30" customHeight="1">
      <c r="A83" s="4" t="inlineStr">
        <is>
          <t>Жёсткие диски SSD</t>
        </is>
      </c>
      <c r="B83" s="4" t="inlineStr">
        <is>
          <t>SSD Накопитель HPE 480GB PM1633a / SAS / RI / SSD</t>
        </is>
      </c>
      <c r="C83" s="5" t="inlineStr"/>
      <c r="D83" s="5" t="n">
        <v>5476240</v>
      </c>
      <c r="E83" s="5" t="n">
        <v>4889500</v>
      </c>
      <c r="F83" s="5" t="inlineStr"/>
      <c r="G83" s="5" t="inlineStr">
        <is>
          <t>HPE</t>
        </is>
      </c>
      <c r="H83" s="5">
        <f>HYPERLINK("https://itrix.uz/product/75", "🔗 Купить продукт")</f>
        <v/>
      </c>
      <c r="I83" t="inlineStr">
        <is>
          <t>2-75-81</t>
        </is>
      </c>
    </row>
    <row r="84" ht="30" customHeight="1">
      <c r="A84" s="4" t="inlineStr">
        <is>
          <t>Оперативная память (RAM)</t>
        </is>
      </c>
      <c r="B84" s="4" t="inlineStr">
        <is>
          <t>Оперативная память Samsung / SK hynix 16GB DDR4-2933MHz</t>
        </is>
      </c>
      <c r="C84" s="5" t="inlineStr"/>
      <c r="D84" s="5" t="n">
        <v>1365504</v>
      </c>
      <c r="E84" s="5" t="n">
        <v>1219200</v>
      </c>
      <c r="F84" s="5" t="inlineStr"/>
      <c r="G84" s="5" t="inlineStr">
        <is>
          <t>Samsung</t>
        </is>
      </c>
      <c r="H84" s="5">
        <f>HYPERLINK("https://itrix.uz/product/84", "🔗 Купить продукт")</f>
        <v/>
      </c>
      <c r="I84" t="inlineStr">
        <is>
          <t>2-84-90</t>
        </is>
      </c>
    </row>
    <row r="85" ht="30" customHeight="1">
      <c r="A85" s="4" t="inlineStr">
        <is>
          <t>Корпуса</t>
        </is>
      </c>
      <c r="B85" s="4" t="inlineStr">
        <is>
          <t>HPE Apollo 4510 Gen10 4U 60 LFF</t>
        </is>
      </c>
      <c r="C85" s="5" t="inlineStr"/>
      <c r="D85" s="5" t="n">
        <v>0</v>
      </c>
      <c r="E85" s="5" t="n">
        <v>0</v>
      </c>
      <c r="F85" s="5" t="inlineStr"/>
      <c r="G85" s="5" t="inlineStr">
        <is>
          <t>HPE</t>
        </is>
      </c>
      <c r="H85" s="5">
        <f>HYPERLINK("https://itrix.uz/product/445", "🔗 Купить продукт")</f>
        <v/>
      </c>
      <c r="I85" t="inlineStr">
        <is>
          <t>2-445-429</t>
        </is>
      </c>
    </row>
    <row r="86" ht="30" customHeight="1">
      <c r="A86" s="4" t="inlineStr">
        <is>
          <t>Жёсткие диски HDD</t>
        </is>
      </c>
      <c r="B86" s="4" t="inlineStr">
        <is>
          <t>Жесткий диск DELL 18TB / SAS / 7200 rpm / LFF / 3.5" HDD</t>
        </is>
      </c>
      <c r="C86" s="5" t="inlineStr"/>
      <c r="D86" s="5" t="n">
        <v>6841744</v>
      </c>
      <c r="E86" s="5" t="n">
        <v>6108700</v>
      </c>
      <c r="F86" s="5" t="inlineStr"/>
      <c r="G86" s="5" t="inlineStr">
        <is>
          <t>Dell</t>
        </is>
      </c>
      <c r="H86" s="5">
        <f>HYPERLINK("https://itrix.uz/product/48", "🔗 Купить продукт")</f>
        <v/>
      </c>
      <c r="I86" t="inlineStr">
        <is>
          <t>2-48-54</t>
        </is>
      </c>
    </row>
    <row r="87" ht="30" customHeight="1">
      <c r="A87" s="4" t="inlineStr">
        <is>
          <t>Аксессуары</t>
        </is>
      </c>
      <c r="B87" s="4" t="inlineStr">
        <is>
          <t xml:space="preserve">Сетевой адаптер HPE Broadcom BCM57416 Ethernet 10Gb 2-port BASE-T </t>
        </is>
      </c>
      <c r="C87" s="5" t="inlineStr"/>
      <c r="D87" s="5" t="n">
        <v>5106416</v>
      </c>
      <c r="E87" s="5" t="n">
        <v>4559300</v>
      </c>
      <c r="F87" s="5" t="inlineStr"/>
      <c r="G87" s="5" t="inlineStr">
        <is>
          <t>HPE</t>
        </is>
      </c>
      <c r="H87" s="5">
        <f>HYPERLINK("https://itrix.uz/product/134", "🔗 Купить продукт")</f>
        <v/>
      </c>
      <c r="I87" t="inlineStr">
        <is>
          <t>2-134-140</t>
        </is>
      </c>
    </row>
    <row r="88" ht="30" customHeight="1">
      <c r="A88" s="4" t="inlineStr">
        <is>
          <t>Оперативная память (RAM)</t>
        </is>
      </c>
      <c r="B88" s="4" t="inlineStr">
        <is>
          <t>Оперативная память HPE 8GB DDR4-3200Mhz 3200AA-E STND Kit</t>
        </is>
      </c>
      <c r="C88" s="5" t="inlineStr"/>
      <c r="D88" s="5" t="n">
        <v>1095248</v>
      </c>
      <c r="E88" s="5" t="n">
        <v>977900</v>
      </c>
      <c r="F88" s="5" t="inlineStr"/>
      <c r="G88" s="5" t="inlineStr">
        <is>
          <t>HPE</t>
        </is>
      </c>
      <c r="H88" s="5">
        <f>HYPERLINK("https://itrix.uz/product/87", "🔗 Купить продукт")</f>
        <v/>
      </c>
      <c r="I88" t="inlineStr">
        <is>
          <t>2-87-93</t>
        </is>
      </c>
    </row>
    <row r="89" ht="30" customHeight="1">
      <c r="A89" s="4" t="inlineStr">
        <is>
          <t>Процессоры</t>
        </is>
      </c>
      <c r="B89" s="4" t="inlineStr">
        <is>
          <t>Intel Xeon Gold 5318Y (2.1GHz/24-core/165W)</t>
        </is>
      </c>
      <c r="C89" s="5" t="inlineStr"/>
      <c r="D89" s="5" t="n">
        <v>19230848</v>
      </c>
      <c r="E89" s="5" t="n">
        <v>17170400</v>
      </c>
      <c r="F89" s="5" t="inlineStr"/>
      <c r="G89" s="5" t="inlineStr">
        <is>
          <t>Intel</t>
        </is>
      </c>
      <c r="H89" s="5">
        <f>HYPERLINK("https://itrix.uz/product/349", "🔗 Купить продукт")</f>
        <v/>
      </c>
      <c r="I89" t="inlineStr">
        <is>
          <t>2-349-351</t>
        </is>
      </c>
    </row>
    <row r="90" ht="30" customHeight="1">
      <c r="A90" s="4" t="inlineStr">
        <is>
          <t>Аксессуары</t>
        </is>
      </c>
      <c r="B90" s="4" t="inlineStr">
        <is>
          <t>Набор для крепления в стойку Synology RKS1317</t>
        </is>
      </c>
      <c r="C90" s="5" t="inlineStr"/>
      <c r="D90" s="5" t="n">
        <v>1550416</v>
      </c>
      <c r="E90" s="5" t="n">
        <v>1384300</v>
      </c>
      <c r="F90" s="5" t="inlineStr"/>
      <c r="G90" s="5" t="inlineStr">
        <is>
          <t>Synology</t>
        </is>
      </c>
      <c r="H90" s="5">
        <f>HYPERLINK("https://itrix.uz/product/281", "🔗 Купить продукт")</f>
        <v/>
      </c>
      <c r="I90" t="inlineStr">
        <is>
          <t>2-281-283</t>
        </is>
      </c>
    </row>
    <row r="91" ht="30" customHeight="1">
      <c r="A91" s="4" t="inlineStr">
        <is>
          <t>RAID-контроллер</t>
        </is>
      </c>
      <c r="B91" s="4" t="inlineStr">
        <is>
          <t>Raid контроллер HPE MR416i-p Gen11 x16 Lanes 8GB Cache PCI SPDM Plug-in Storage Controller</t>
        </is>
      </c>
      <c r="C91" s="5" t="inlineStr"/>
      <c r="D91" s="5" t="n">
        <v>15831</v>
      </c>
      <c r="E91" s="5" t="n">
        <v>14135</v>
      </c>
      <c r="F91" s="5" t="inlineStr"/>
      <c r="G91" s="5" t="inlineStr">
        <is>
          <t>HPE</t>
        </is>
      </c>
      <c r="H91" s="5">
        <f>HYPERLINK("https://itrix.uz/product/524", "🔗 Купить продукт")</f>
        <v/>
      </c>
      <c r="I91" t="inlineStr">
        <is>
          <t>2-524-498</t>
        </is>
      </c>
    </row>
    <row r="92" ht="30" customHeight="1">
      <c r="A92" s="4" t="inlineStr">
        <is>
          <t>Оперативная память (RAM)</t>
        </is>
      </c>
      <c r="B92" s="4" t="inlineStr">
        <is>
          <t>Оперативная память HPE 64GB DDR4-3200MHz 3200AA-RB2</t>
        </is>
      </c>
      <c r="C92" s="5" t="inlineStr"/>
      <c r="D92" s="5" t="n">
        <v>2631440</v>
      </c>
      <c r="E92" s="5" t="n">
        <v>2349500</v>
      </c>
      <c r="F92" s="5" t="inlineStr"/>
      <c r="G92" s="5" t="inlineStr">
        <is>
          <t>HPE</t>
        </is>
      </c>
      <c r="H92" s="5">
        <f>HYPERLINK("https://itrix.uz/product/94", "🔗 Купить продукт")</f>
        <v/>
      </c>
      <c r="I92" t="inlineStr">
        <is>
          <t>2-94-100</t>
        </is>
      </c>
    </row>
    <row r="93" ht="30" customHeight="1">
      <c r="A93" s="4" t="inlineStr">
        <is>
          <t>Аксессуары</t>
        </is>
      </c>
      <c r="B93" s="4" t="inlineStr">
        <is>
          <t>Контроллер удаленного доступа DELL iDRAC9 Enterprise</t>
        </is>
      </c>
      <c r="C93" s="5" t="inlineStr"/>
      <c r="D93" s="5" t="n">
        <v>298704</v>
      </c>
      <c r="E93" s="5" t="n">
        <v>266700</v>
      </c>
      <c r="F93" s="5" t="inlineStr"/>
      <c r="G93" s="5" t="inlineStr">
        <is>
          <t>Dell</t>
        </is>
      </c>
      <c r="H93" s="5">
        <f>HYPERLINK("https://itrix.uz/product/137", "🔗 Купить продукт")</f>
        <v/>
      </c>
      <c r="I93" t="inlineStr">
        <is>
          <t>2-137-143</t>
        </is>
      </c>
    </row>
    <row r="94" ht="30" customHeight="1">
      <c r="A94" s="4" t="inlineStr">
        <is>
          <t>Жёсткие диски SSD</t>
        </is>
      </c>
      <c r="B94" s="4" t="inlineStr">
        <is>
          <t>SSD Накопитель HPE 3.84TB / NVMe / RI / SAS / SSD</t>
        </is>
      </c>
      <c r="C94" s="5" t="inlineStr"/>
      <c r="D94" s="5" t="n">
        <v>20539456</v>
      </c>
      <c r="E94" s="5" t="n">
        <v>18338800</v>
      </c>
      <c r="F94" s="5" t="inlineStr"/>
      <c r="G94" s="5" t="inlineStr">
        <is>
          <t>HPE</t>
        </is>
      </c>
      <c r="H94" s="5">
        <f>HYPERLINK("https://itrix.uz/product/51", "🔗 Купить продукт")</f>
        <v/>
      </c>
      <c r="I94" t="inlineStr">
        <is>
          <t>2-51-57</t>
        </is>
      </c>
    </row>
    <row r="95" ht="30" customHeight="1">
      <c r="A95" s="4" t="inlineStr">
        <is>
          <t>Аксессуары</t>
        </is>
      </c>
      <c r="B95" s="4" t="inlineStr">
        <is>
          <t>Сетевой адаптер HPE Intel l350-T4 ethernet 1GB 4-port BASE-T</t>
        </is>
      </c>
      <c r="C95" s="5" t="inlineStr"/>
      <c r="D95" s="5" t="n">
        <v>583184</v>
      </c>
      <c r="E95" s="5" t="n">
        <v>520700</v>
      </c>
      <c r="F95" s="5" t="inlineStr"/>
      <c r="G95" s="5" t="inlineStr">
        <is>
          <t>HPE</t>
        </is>
      </c>
      <c r="H95" s="5">
        <f>HYPERLINK("https://itrix.uz/product/135", "🔗 Купить продукт")</f>
        <v/>
      </c>
      <c r="I95" t="inlineStr">
        <is>
          <t>2-135-141</t>
        </is>
      </c>
    </row>
    <row r="96" ht="30" customHeight="1">
      <c r="A96" s="4" t="inlineStr">
        <is>
          <t>Процессоры</t>
        </is>
      </c>
      <c r="B96" s="4" t="inlineStr">
        <is>
          <t>Intel Xeon Gold 5320 (2.2GHz/26-core/185W)</t>
        </is>
      </c>
      <c r="C96" s="5" t="inlineStr"/>
      <c r="D96" s="5" t="n">
        <v>18476976</v>
      </c>
      <c r="E96" s="5" t="n">
        <v>16497300</v>
      </c>
      <c r="F96" s="5" t="inlineStr"/>
      <c r="G96" s="5" t="inlineStr">
        <is>
          <t>Intel</t>
        </is>
      </c>
      <c r="H96" s="5">
        <f>HYPERLINK("https://itrix.uz/product/350", "🔗 Купить продукт")</f>
        <v/>
      </c>
      <c r="I96" t="inlineStr">
        <is>
          <t>2-350-352</t>
        </is>
      </c>
    </row>
    <row r="97" ht="30" customHeight="1">
      <c r="A97" s="4" t="inlineStr">
        <is>
          <t>RAID-контроллер</t>
        </is>
      </c>
      <c r="B97" s="4" t="inlineStr">
        <is>
          <t>RAID Контроллер DELL PERC H745 4Gb RAID 12Gb/s</t>
        </is>
      </c>
      <c r="C97" s="5" t="inlineStr"/>
      <c r="D97" s="5" t="n">
        <v>7282688</v>
      </c>
      <c r="E97" s="5" t="n">
        <v>6502400</v>
      </c>
      <c r="F97" s="5" t="inlineStr"/>
      <c r="G97" s="5" t="inlineStr">
        <is>
          <t>Dell</t>
        </is>
      </c>
      <c r="H97" s="5">
        <f>HYPERLINK("https://itrix.uz/product/152", "🔗 Купить продукт")</f>
        <v/>
      </c>
      <c r="I97" t="inlineStr">
        <is>
          <t>2-152-158</t>
        </is>
      </c>
    </row>
    <row r="98" ht="30" customHeight="1">
      <c r="A98" s="4" t="inlineStr">
        <is>
          <t>Оперативная память (RAM)</t>
        </is>
      </c>
      <c r="B98" s="4" t="inlineStr">
        <is>
          <t>Оперативная память Dell 128 GB - 4Rx4 DDR4 LRDIMM 3200 MT/s</t>
        </is>
      </c>
      <c r="C98" s="5" t="inlineStr"/>
      <c r="D98" s="5" t="n">
        <v>18263616</v>
      </c>
      <c r="E98" s="5" t="n">
        <v>16306800</v>
      </c>
      <c r="F98" s="5" t="inlineStr"/>
      <c r="G98" s="5" t="inlineStr">
        <is>
          <t>Dell</t>
        </is>
      </c>
      <c r="H98" s="5">
        <f>HYPERLINK("https://itrix.uz/product/550", "🔗 Купить продукт")</f>
        <v/>
      </c>
      <c r="I98" t="inlineStr">
        <is>
          <t>2-550-513</t>
        </is>
      </c>
    </row>
    <row r="99" ht="30" customHeight="1">
      <c r="A99" s="4" t="inlineStr">
        <is>
          <t>Жёсткие диски SSD</t>
        </is>
      </c>
      <c r="B99" s="4" t="inlineStr">
        <is>
          <t>SSD Накопитель DELL 480GB / SATA / RI / SSD</t>
        </is>
      </c>
      <c r="C99" s="5" t="inlineStr"/>
      <c r="D99" s="5" t="n">
        <v>3413760</v>
      </c>
      <c r="E99" s="5" t="n">
        <v>3048000</v>
      </c>
      <c r="F99" s="5" t="inlineStr"/>
      <c r="G99" s="5" t="inlineStr">
        <is>
          <t>Dell</t>
        </is>
      </c>
      <c r="H99" s="5">
        <f>HYPERLINK("https://itrix.uz/product/53", "🔗 Купить продукт")</f>
        <v/>
      </c>
      <c r="I99" t="inlineStr">
        <is>
          <t>2-53-59</t>
        </is>
      </c>
    </row>
    <row r="100" ht="30" customHeight="1">
      <c r="A100" s="4" t="inlineStr">
        <is>
          <t>Процессоры</t>
        </is>
      </c>
      <c r="B100" s="4" t="inlineStr">
        <is>
          <t>Intel Xeon-Gold 6234 (3.3GHz/8-core/130W)</t>
        </is>
      </c>
      <c r="C100" s="5" t="inlineStr"/>
      <c r="D100" s="5" t="n">
        <v>5390896</v>
      </c>
      <c r="E100" s="5" t="n">
        <v>4813300</v>
      </c>
      <c r="F100" s="5" t="inlineStr"/>
      <c r="G100" s="5" t="inlineStr">
        <is>
          <t>Intel</t>
        </is>
      </c>
      <c r="H100" s="5">
        <f>HYPERLINK("https://itrix.uz/product/352", "🔗 Купить продукт")</f>
        <v/>
      </c>
      <c r="I100" t="inlineStr">
        <is>
          <t>2-352-354</t>
        </is>
      </c>
    </row>
    <row r="101" ht="30" customHeight="1">
      <c r="A101" s="4" t="inlineStr">
        <is>
          <t>Аксессуары</t>
        </is>
      </c>
      <c r="B101" s="4" t="inlineStr">
        <is>
          <t>Радиатор ЦП Dell R750 High Performance CPU Heatsink</t>
        </is>
      </c>
      <c r="C101" s="5" t="inlineStr"/>
      <c r="D101" s="5" t="n">
        <v>1365504</v>
      </c>
      <c r="E101" s="5" t="n">
        <v>1219200</v>
      </c>
      <c r="F101" s="5" t="inlineStr"/>
      <c r="G101" s="5" t="inlineStr">
        <is>
          <t>Dell</t>
        </is>
      </c>
      <c r="H101" s="5">
        <f>HYPERLINK("https://itrix.uz/product/100", "🔗 Купить продукт")</f>
        <v/>
      </c>
      <c r="I101" t="inlineStr">
        <is>
          <t>2-100-106</t>
        </is>
      </c>
    </row>
    <row r="102" ht="30" customHeight="1">
      <c r="A102" s="4" t="inlineStr">
        <is>
          <t>Процессоры</t>
        </is>
      </c>
      <c r="B102" s="4" t="inlineStr">
        <is>
          <t>Intel Xeon-Gold 5218 (2.3GHz/16-core/125W)</t>
        </is>
      </c>
      <c r="C102" s="5" t="inlineStr"/>
      <c r="D102" s="5" t="n">
        <v>10639552</v>
      </c>
      <c r="E102" s="5" t="n">
        <v>9499600</v>
      </c>
      <c r="F102" s="5" t="inlineStr"/>
      <c r="G102" s="5" t="inlineStr">
        <is>
          <t>Intel</t>
        </is>
      </c>
      <c r="H102" s="5">
        <f>HYPERLINK("https://itrix.uz/product/343", "🔗 Купить продукт")</f>
        <v/>
      </c>
      <c r="I102" t="inlineStr">
        <is>
          <t>2-343-345</t>
        </is>
      </c>
    </row>
    <row r="103" ht="30" customHeight="1">
      <c r="A103" s="4" t="inlineStr">
        <is>
          <t>Процессоры</t>
        </is>
      </c>
      <c r="B103" s="4" t="inlineStr">
        <is>
          <t>Intel Xeon-Gold 6248R (3.0GHz/24-core/205W)</t>
        </is>
      </c>
      <c r="C103" s="5" t="inlineStr"/>
      <c r="D103" s="5" t="n">
        <v>29443680</v>
      </c>
      <c r="E103" s="5" t="n">
        <v>26289000</v>
      </c>
      <c r="F103" s="5" t="inlineStr"/>
      <c r="G103" s="5" t="inlineStr">
        <is>
          <t>Intel</t>
        </is>
      </c>
      <c r="H103" s="5">
        <f>HYPERLINK("https://itrix.uz/product/353", "🔗 Купить продукт")</f>
        <v/>
      </c>
      <c r="I103" t="inlineStr">
        <is>
          <t>2-353-355</t>
        </is>
      </c>
    </row>
    <row r="104" ht="30" customHeight="1">
      <c r="A104" s="4" t="inlineStr">
        <is>
          <t>Процессоры</t>
        </is>
      </c>
      <c r="B104" s="4" t="inlineStr">
        <is>
          <t>Intel Xeon Gold 6348 (2.6GHz/28-core/235W)</t>
        </is>
      </c>
      <c r="C104" s="5" t="inlineStr"/>
      <c r="D104" s="5" t="n">
        <v>36441888</v>
      </c>
      <c r="E104" s="5" t="n">
        <v>32537400</v>
      </c>
      <c r="F104" s="5" t="inlineStr"/>
      <c r="G104" s="5" t="inlineStr">
        <is>
          <t>Intel</t>
        </is>
      </c>
      <c r="H104" s="5">
        <f>HYPERLINK("https://itrix.uz/product/361", "🔗 Купить продукт")</f>
        <v/>
      </c>
      <c r="I104" t="inlineStr">
        <is>
          <t>2-361-363</t>
        </is>
      </c>
    </row>
    <row r="105" ht="30" customHeight="1">
      <c r="A105" s="4" t="inlineStr">
        <is>
          <t>Аксессуары</t>
        </is>
      </c>
      <c r="B105" s="4" t="inlineStr">
        <is>
          <t>Модуль вентиляторов HPE DL380 G10 High Performance Fan</t>
        </is>
      </c>
      <c r="C105" s="5" t="inlineStr"/>
      <c r="D105" s="5" t="n">
        <v>682752</v>
      </c>
      <c r="E105" s="5" t="n">
        <v>609600</v>
      </c>
      <c r="F105" s="5" t="inlineStr"/>
      <c r="G105" s="5" t="inlineStr">
        <is>
          <t>HPE</t>
        </is>
      </c>
      <c r="H105" s="5">
        <f>HYPERLINK("https://itrix.uz/product/108", "🔗 Купить продукт")</f>
        <v/>
      </c>
      <c r="I105" t="inlineStr">
        <is>
          <t>2-108-114</t>
        </is>
      </c>
    </row>
    <row r="106" ht="30" customHeight="1">
      <c r="A106" s="4" t="inlineStr">
        <is>
          <t>Жёсткие диски SSD</t>
        </is>
      </c>
      <c r="B106" s="4" t="inlineStr">
        <is>
          <t>SSD Накопитель HPE 480GB / SATA / RI / SSD</t>
        </is>
      </c>
      <c r="C106" s="5" t="inlineStr"/>
      <c r="D106" s="5" t="n">
        <v>5476240</v>
      </c>
      <c r="E106" s="5" t="n">
        <v>4889500</v>
      </c>
      <c r="F106" s="5" t="inlineStr"/>
      <c r="G106" s="5" t="inlineStr">
        <is>
          <t>HPE</t>
        </is>
      </c>
      <c r="H106" s="5">
        <f>HYPERLINK("https://itrix.uz/product/55", "🔗 Купить продукт")</f>
        <v/>
      </c>
      <c r="I106" t="inlineStr">
        <is>
          <t>2-55-61</t>
        </is>
      </c>
    </row>
    <row r="107" ht="30" customHeight="1">
      <c r="A107" s="4" t="inlineStr">
        <is>
          <t>Аксессуары</t>
        </is>
      </c>
      <c r="B107" s="4" t="inlineStr">
        <is>
          <t>Сетевая карта  Ethernet Synology 10GbE BASE-T</t>
        </is>
      </c>
      <c r="C107" s="5" t="inlineStr"/>
      <c r="D107" s="5" t="n">
        <v>2275840</v>
      </c>
      <c r="E107" s="5" t="n">
        <v>2032000</v>
      </c>
      <c r="F107" s="5" t="inlineStr"/>
      <c r="G107" s="5" t="inlineStr">
        <is>
          <t>Synology</t>
        </is>
      </c>
      <c r="H107" s="5">
        <f>HYPERLINK("https://itrix.uz/product/269", "🔗 Купить продукт")</f>
        <v/>
      </c>
      <c r="I107" t="inlineStr">
        <is>
          <t>2-269-271</t>
        </is>
      </c>
    </row>
    <row r="108" ht="30" customHeight="1">
      <c r="A108" s="4" t="inlineStr">
        <is>
          <t>Жёсткие диски SSD</t>
        </is>
      </c>
      <c r="B108" s="4" t="inlineStr">
        <is>
          <t>SSD Накопитель DELL 3.84TB / SAS / RI / SSD</t>
        </is>
      </c>
      <c r="C108" s="5" t="inlineStr"/>
      <c r="D108" s="5" t="n">
        <v>20539456</v>
      </c>
      <c r="E108" s="5" t="n">
        <v>18338800</v>
      </c>
      <c r="F108" s="5" t="inlineStr"/>
      <c r="G108" s="5" t="inlineStr">
        <is>
          <t>Dell</t>
        </is>
      </c>
      <c r="H108" s="5">
        <f>HYPERLINK("https://itrix.uz/product/56", "🔗 Купить продукт")</f>
        <v/>
      </c>
      <c r="I108" t="inlineStr">
        <is>
          <t>2-56-62</t>
        </is>
      </c>
    </row>
    <row r="109" ht="30" customHeight="1">
      <c r="A109" s="4" t="inlineStr">
        <is>
          <t>Корпуса</t>
        </is>
      </c>
      <c r="B109" s="4" t="inlineStr">
        <is>
          <t>Dell EMC PowerEdge C6520XD (в составе шасси C6400)</t>
        </is>
      </c>
      <c r="C109" s="5" t="inlineStr"/>
      <c r="D109" s="5" t="n">
        <v>337706208</v>
      </c>
      <c r="E109" s="5" t="n">
        <v>301523400</v>
      </c>
      <c r="F109" s="5" t="inlineStr"/>
      <c r="G109" s="5" t="inlineStr">
        <is>
          <t>Dell</t>
        </is>
      </c>
      <c r="H109" s="5">
        <f>HYPERLINK("https://itrix.uz/product/446", "🔗 Купить продукт")</f>
        <v/>
      </c>
      <c r="I109" t="inlineStr">
        <is>
          <t>2-446-430</t>
        </is>
      </c>
    </row>
    <row r="110" ht="30" customHeight="1">
      <c r="A110" s="4" t="inlineStr">
        <is>
          <t>Жёсткие диски HDD</t>
        </is>
      </c>
      <c r="B110" s="4" t="inlineStr">
        <is>
          <t>Жёсткий диск DELL 600GB / SAS / 15000 rpm / SFF / 2.5" HDD</t>
        </is>
      </c>
      <c r="C110" s="5" t="inlineStr"/>
      <c r="D110" s="5" t="n">
        <v>2190496</v>
      </c>
      <c r="E110" s="5" t="n">
        <v>1955800</v>
      </c>
      <c r="F110" s="5" t="inlineStr"/>
      <c r="G110" s="5" t="inlineStr">
        <is>
          <t>Dell</t>
        </is>
      </c>
      <c r="H110" s="5">
        <f>HYPERLINK("https://itrix.uz/product/40", "🔗 Купить продукт")</f>
        <v/>
      </c>
      <c r="I110" t="inlineStr">
        <is>
          <t>2-40-46</t>
        </is>
      </c>
    </row>
    <row r="111" ht="30" customHeight="1">
      <c r="A111" s="4" t="inlineStr">
        <is>
          <t>Процессоры</t>
        </is>
      </c>
      <c r="B111" s="4" t="inlineStr">
        <is>
          <t>Intel Xeon Gold 5317 (3.0GHz/12-core/150W)</t>
        </is>
      </c>
      <c r="C111" s="5" t="inlineStr"/>
      <c r="D111" s="5" t="n">
        <v>18064480</v>
      </c>
      <c r="E111" s="5" t="n">
        <v>16129000</v>
      </c>
      <c r="F111" s="5" t="inlineStr"/>
      <c r="G111" s="5" t="inlineStr">
        <is>
          <t>Intel</t>
        </is>
      </c>
      <c r="H111" s="5">
        <f>HYPERLINK("https://itrix.uz/product/348", "🔗 Купить продукт")</f>
        <v/>
      </c>
      <c r="I111" t="inlineStr">
        <is>
          <t>2-348-350</t>
        </is>
      </c>
    </row>
    <row r="112" ht="30" customHeight="1">
      <c r="A112" s="4" t="inlineStr">
        <is>
          <t>Жёсткие диски SSD</t>
        </is>
      </c>
      <c r="B112" s="4" t="inlineStr">
        <is>
          <t>SSD Накопитель HPE 240GB / SATA / RI / SSD</t>
        </is>
      </c>
      <c r="C112" s="5" t="inlineStr"/>
      <c r="D112" s="5" t="n">
        <v>3427984</v>
      </c>
      <c r="E112" s="5" t="n">
        <v>3060700</v>
      </c>
      <c r="F112" s="5" t="inlineStr"/>
      <c r="G112" s="5" t="inlineStr">
        <is>
          <t>HPE</t>
        </is>
      </c>
      <c r="H112" s="5">
        <f>HYPERLINK("https://itrix.uz/product/57", "🔗 Купить продукт")</f>
        <v/>
      </c>
      <c r="I112" t="inlineStr">
        <is>
          <t>2-57-63</t>
        </is>
      </c>
    </row>
    <row r="113" ht="30" customHeight="1">
      <c r="A113" s="4" t="inlineStr">
        <is>
          <t>Оперативная память (RAM)</t>
        </is>
      </c>
      <c r="B113" s="4" t="inlineStr">
        <is>
          <t>Оперативная память Samsung 8GB DDR4-2400MHz 2400T-ED2-11 UDIMM</t>
        </is>
      </c>
      <c r="C113" s="5" t="inlineStr"/>
      <c r="D113" s="5" t="n">
        <v>270256</v>
      </c>
      <c r="E113" s="5" t="n">
        <v>241300</v>
      </c>
      <c r="F113" s="5" t="inlineStr"/>
      <c r="G113" s="5" t="inlineStr">
        <is>
          <t>Samsung</t>
        </is>
      </c>
      <c r="H113" s="5">
        <f>HYPERLINK("https://itrix.uz/product/76", "🔗 Купить продукт")</f>
        <v/>
      </c>
      <c r="I113" t="inlineStr">
        <is>
          <t>2-76-82</t>
        </is>
      </c>
    </row>
    <row r="114" ht="30" customHeight="1">
      <c r="A114" s="4" t="inlineStr">
        <is>
          <t>Процессоры</t>
        </is>
      </c>
      <c r="B114" s="4" t="inlineStr">
        <is>
          <t>Intel Xeon-Silver 4215R (3.2GHz/8-core/130W)</t>
        </is>
      </c>
      <c r="C114" s="5" t="inlineStr"/>
      <c r="D114" s="5" t="n">
        <v>13114528</v>
      </c>
      <c r="E114" s="5" t="n">
        <v>11709400</v>
      </c>
      <c r="F114" s="5" t="inlineStr"/>
      <c r="G114" s="5" t="inlineStr">
        <is>
          <t>Intel</t>
        </is>
      </c>
      <c r="H114" s="5">
        <f>HYPERLINK("https://itrix.uz/product/339", "🔗 Купить продукт")</f>
        <v/>
      </c>
      <c r="I114" t="inlineStr">
        <is>
          <t>2-339-341</t>
        </is>
      </c>
    </row>
    <row r="115" ht="30" customHeight="1">
      <c r="A115" s="4" t="inlineStr">
        <is>
          <t>Процессоры</t>
        </is>
      </c>
      <c r="B115" s="4" t="inlineStr">
        <is>
          <t>Intel Xeon Gold 6342 (2.8GHz/24-core/230W)</t>
        </is>
      </c>
      <c r="C115" s="5" t="inlineStr"/>
      <c r="D115" s="5" t="n">
        <v>37892736</v>
      </c>
      <c r="E115" s="5" t="n">
        <v>33832800</v>
      </c>
      <c r="F115" s="5" t="inlineStr"/>
      <c r="G115" s="5" t="inlineStr">
        <is>
          <t>Intel</t>
        </is>
      </c>
      <c r="H115" s="5">
        <f>HYPERLINK("https://itrix.uz/product/359", "🔗 Купить продукт")</f>
        <v/>
      </c>
      <c r="I115" t="inlineStr">
        <is>
          <t>2-359-361</t>
        </is>
      </c>
    </row>
    <row r="116" ht="30" customHeight="1">
      <c r="A116" s="4" t="inlineStr">
        <is>
          <t>Жёсткие диски HDD</t>
        </is>
      </c>
      <c r="B116" s="4" t="inlineStr">
        <is>
          <t>Жесткий диск HPE 16TB / SAS / 7200 rpm / LFF / 3.5" HDD</t>
        </is>
      </c>
      <c r="C116" s="5" t="inlineStr"/>
      <c r="D116" s="5" t="n">
        <v>8904224</v>
      </c>
      <c r="E116" s="5" t="n">
        <v>7950200</v>
      </c>
      <c r="F116" s="5" t="inlineStr"/>
      <c r="G116" s="5" t="inlineStr">
        <is>
          <t>HPE</t>
        </is>
      </c>
      <c r="H116" s="5">
        <f>HYPERLINK("https://itrix.uz/product/45", "🔗 Купить продукт")</f>
        <v/>
      </c>
      <c r="I116" t="inlineStr">
        <is>
          <t>2-45-51</t>
        </is>
      </c>
    </row>
    <row r="117" ht="30" customHeight="1">
      <c r="A117" s="4" t="inlineStr">
        <is>
          <t>Процессоры</t>
        </is>
      </c>
      <c r="B117" s="4" t="inlineStr">
        <is>
          <t>Intel Xeon Gold 6346 (3.1GHz/16-core/205W)</t>
        </is>
      </c>
      <c r="C117" s="5" t="inlineStr"/>
      <c r="D117" s="5" t="n">
        <v>27694128</v>
      </c>
      <c r="E117" s="5" t="n">
        <v>24726900</v>
      </c>
      <c r="F117" s="5" t="inlineStr"/>
      <c r="G117" s="5" t="inlineStr">
        <is>
          <t>Intel</t>
        </is>
      </c>
      <c r="H117" s="5">
        <f>HYPERLINK("https://itrix.uz/product/360", "🔗 Купить продукт")</f>
        <v/>
      </c>
      <c r="I117" t="inlineStr">
        <is>
          <t>2-360-362</t>
        </is>
      </c>
    </row>
    <row r="118" ht="30" customHeight="1">
      <c r="A118" s="4" t="inlineStr">
        <is>
          <t>Жёсткие диски HDD</t>
        </is>
      </c>
      <c r="B118" s="4" t="inlineStr">
        <is>
          <t>Жесткий диск HPE 900GB / SAS / 15000rpm / SFF / 2.5" HDD</t>
        </is>
      </c>
      <c r="C118" s="5" t="inlineStr"/>
      <c r="D118" s="5" t="n">
        <v>5291328</v>
      </c>
      <c r="E118" s="5" t="n">
        <v>4724400</v>
      </c>
      <c r="F118" s="5" t="inlineStr"/>
      <c r="G118" s="5" t="inlineStr">
        <is>
          <t>HPE</t>
        </is>
      </c>
      <c r="H118" s="5">
        <f>HYPERLINK("https://itrix.uz/product/50", "🔗 Купить продукт")</f>
        <v/>
      </c>
      <c r="I118" t="inlineStr">
        <is>
          <t>2-50-56</t>
        </is>
      </c>
    </row>
    <row r="119" ht="30" customHeight="1">
      <c r="A119" s="4" t="inlineStr">
        <is>
          <t>Жёсткие диски SSD</t>
        </is>
      </c>
      <c r="B119" s="4" t="inlineStr">
        <is>
          <t>SSD Накопитель HPE 480GB / SATA / MU / SSD</t>
        </is>
      </c>
      <c r="C119" s="5" t="inlineStr"/>
      <c r="D119" s="5" t="n">
        <v>6158992</v>
      </c>
      <c r="E119" s="5" t="n">
        <v>5499100</v>
      </c>
      <c r="F119" s="5" t="inlineStr"/>
      <c r="G119" s="5" t="inlineStr">
        <is>
          <t>HPE</t>
        </is>
      </c>
      <c r="H119" s="5">
        <f>HYPERLINK("https://itrix.uz/product/58", "🔗 Купить продукт")</f>
        <v/>
      </c>
      <c r="I119" t="inlineStr">
        <is>
          <t>2-58-64</t>
        </is>
      </c>
    </row>
    <row r="120" ht="30" customHeight="1">
      <c r="A120" s="4" t="inlineStr">
        <is>
          <t>Аксессуары</t>
        </is>
      </c>
      <c r="B120" s="4" t="inlineStr">
        <is>
          <t>Сетевая карта HPE 544+QSFP 10/40G 2-port PCIe</t>
        </is>
      </c>
      <c r="C120" s="5" t="inlineStr"/>
      <c r="D120" s="5" t="n">
        <v>4110736</v>
      </c>
      <c r="E120" s="5" t="n">
        <v>3670300</v>
      </c>
      <c r="F120" s="5" t="inlineStr"/>
      <c r="G120" s="5" t="inlineStr">
        <is>
          <t>HPE</t>
        </is>
      </c>
      <c r="H120" s="5">
        <f>HYPERLINK("https://itrix.uz/product/99", "🔗 Купить продукт")</f>
        <v/>
      </c>
      <c r="I120" t="inlineStr">
        <is>
          <t>2-99-105</t>
        </is>
      </c>
    </row>
    <row r="121" ht="30" customHeight="1">
      <c r="A121" s="4" t="inlineStr">
        <is>
          <t>Жёсткие диски SSD</t>
        </is>
      </c>
      <c r="B121" s="4" t="inlineStr">
        <is>
          <t>SSD Накопитель Intel 480GB S4510 / RI / SATA / SSD</t>
        </is>
      </c>
      <c r="C121" s="5" t="inlineStr"/>
      <c r="D121" s="5" t="n">
        <v>2048256</v>
      </c>
      <c r="E121" s="5" t="n">
        <v>1828800</v>
      </c>
      <c r="F121" s="5" t="inlineStr"/>
      <c r="G121" s="5" t="inlineStr">
        <is>
          <t>Intel</t>
        </is>
      </c>
      <c r="H121" s="5">
        <f>HYPERLINK("https://itrix.uz/product/59", "🔗 Купить продукт")</f>
        <v/>
      </c>
      <c r="I121" t="inlineStr">
        <is>
          <t>2-59-65</t>
        </is>
      </c>
    </row>
    <row r="122" ht="30" customHeight="1">
      <c r="A122" s="4" t="inlineStr">
        <is>
          <t>Жёсткие диски HDD</t>
        </is>
      </c>
      <c r="B122" s="4" t="inlineStr">
        <is>
          <t>Жёсткий диск WD 6TB 7.2K SAS LFF HDD</t>
        </is>
      </c>
      <c r="C122" s="5" t="inlineStr"/>
      <c r="D122" s="5" t="n">
        <v>2034032</v>
      </c>
      <c r="E122" s="5" t="n">
        <v>1816100</v>
      </c>
      <c r="F122" s="5" t="inlineStr"/>
      <c r="G122" s="5" t="inlineStr">
        <is>
          <t>Western Digital</t>
        </is>
      </c>
      <c r="H122" s="5">
        <f>HYPERLINK("https://itrix.uz/product/49", "🔗 Купить продукт")</f>
        <v/>
      </c>
      <c r="I122" t="inlineStr">
        <is>
          <t>2-49-55</t>
        </is>
      </c>
    </row>
    <row r="123" ht="30" customHeight="1">
      <c r="A123" s="4" t="inlineStr">
        <is>
          <t>Жёсткие диски SSD</t>
        </is>
      </c>
      <c r="B123" s="4" t="inlineStr">
        <is>
          <t>SSD Накопитель DELL 1.92TB / SAS / RI / SSD</t>
        </is>
      </c>
      <c r="C123" s="5" t="inlineStr"/>
      <c r="D123" s="5" t="n">
        <v>16428720</v>
      </c>
      <c r="E123" s="5" t="n">
        <v>14668500</v>
      </c>
      <c r="F123" s="5" t="inlineStr"/>
      <c r="G123" s="5" t="inlineStr">
        <is>
          <t>Dell</t>
        </is>
      </c>
      <c r="H123" s="5">
        <f>HYPERLINK("https://itrix.uz/product/60", "🔗 Купить продукт")</f>
        <v/>
      </c>
      <c r="I123" t="inlineStr">
        <is>
          <t>2-60-66</t>
        </is>
      </c>
    </row>
    <row r="124">
      <c r="A124" s="4" t="inlineStr">
        <is>
          <t>Комплектующие</t>
        </is>
      </c>
      <c r="B124" s="4" t="inlineStr">
        <is>
          <t>Источник бесперебойного питания On-line, 10 000 VA серии Intelligent, без АКБ (SNR-UPS-ONRT-10000-INTXL)</t>
        </is>
      </c>
      <c r="C124" s="5" t="inlineStr"/>
      <c r="D124" s="5" t="n">
        <v>12741006</v>
      </c>
      <c r="E124" s="5" t="n">
        <v>11375898</v>
      </c>
      <c r="F124" s="5" t="inlineStr"/>
      <c r="G124" s="5" t="inlineStr">
        <is>
          <t>SNR</t>
        </is>
      </c>
      <c r="H124" s="5">
        <f>HYPERLINK("https://itrix.uz/product/895", "🔗 Купить продукт")</f>
        <v/>
      </c>
      <c r="I124" t="inlineStr">
        <is>
          <t>2-895-785</t>
        </is>
      </c>
    </row>
    <row r="125" ht="30" customHeight="1">
      <c r="A125" s="4" t="inlineStr">
        <is>
          <t>Жёсткие диски SSD</t>
        </is>
      </c>
      <c r="B125" s="4" t="inlineStr">
        <is>
          <t xml:space="preserve">SSD накопитель DELL 15.36TB ENTERPRISE NVME READ INTENSIVE AG DRIVE U.2 </t>
        </is>
      </c>
      <c r="C125" s="5" t="inlineStr"/>
      <c r="D125" s="5" t="n">
        <v>27395424</v>
      </c>
      <c r="E125" s="5" t="n">
        <v>24460200</v>
      </c>
      <c r="F125" s="5" t="inlineStr"/>
      <c r="G125" s="5" t="inlineStr"/>
      <c r="H125" s="5">
        <f>HYPERLINK("https://itrix.uz/product/551", "🔗 Купить продукт")</f>
        <v/>
      </c>
      <c r="I125" t="inlineStr">
        <is>
          <t>2-551-514</t>
        </is>
      </c>
    </row>
    <row r="126" ht="30" customHeight="1">
      <c r="A126" s="4" t="inlineStr">
        <is>
          <t>Аксессуары</t>
        </is>
      </c>
      <c r="B126" s="4" t="inlineStr">
        <is>
          <t>Сетевая карта Qlogic QL45212HLCU 25Gbe Dual Port SFP+ PCIe 3.0 x8 High Profile Bracket NO SFP</t>
        </is>
      </c>
      <c r="C126" s="5" t="inlineStr"/>
      <c r="D126" s="5" t="n">
        <v>6087872</v>
      </c>
      <c r="E126" s="5" t="n">
        <v>5435600</v>
      </c>
      <c r="F126" s="5" t="inlineStr"/>
      <c r="G126" s="5" t="inlineStr"/>
      <c r="H126" s="5">
        <f>HYPERLINK("https://itrix.uz/product/556", "🔗 Купить продукт")</f>
        <v/>
      </c>
      <c r="I126" t="inlineStr">
        <is>
          <t>2-556-519</t>
        </is>
      </c>
    </row>
    <row r="127" ht="30" customHeight="1">
      <c r="A127" s="4" t="inlineStr">
        <is>
          <t>Аксессуары</t>
        </is>
      </c>
      <c r="B127" s="4" t="inlineStr">
        <is>
          <t>HBA адаптер Dell Emulex LPE36000 Dual Port FC64 Fibre Channel HBA, PCIe Full Height</t>
        </is>
      </c>
      <c r="C127" s="5" t="inlineStr"/>
      <c r="D127" s="5" t="n">
        <v>22843744</v>
      </c>
      <c r="E127" s="5" t="n">
        <v>20396200</v>
      </c>
      <c r="F127" s="5" t="inlineStr"/>
      <c r="G127" s="5" t="inlineStr">
        <is>
          <t>Dell</t>
        </is>
      </c>
      <c r="H127" s="5">
        <f>HYPERLINK("https://itrix.uz/product/553", "🔗 Купить продукт")</f>
        <v/>
      </c>
      <c r="I127" t="inlineStr">
        <is>
          <t>2-553-516</t>
        </is>
      </c>
    </row>
    <row r="128" ht="30" customHeight="1">
      <c r="A128" s="4" t="inlineStr">
        <is>
          <t>Видео карты</t>
        </is>
      </c>
      <c r="B128" s="4" t="inlineStr">
        <is>
          <t>Видеокарта NVIDIA L40 48GB GDDR6</t>
        </is>
      </c>
      <c r="C128" s="5" t="inlineStr"/>
      <c r="D128" s="5" t="n">
        <v>137887456</v>
      </c>
      <c r="E128" s="5" t="n">
        <v>123113800</v>
      </c>
      <c r="F128" s="5" t="inlineStr"/>
      <c r="G128" s="5" t="inlineStr">
        <is>
          <t>Nvidia</t>
        </is>
      </c>
      <c r="H128" s="5">
        <f>HYPERLINK("https://itrix.uz/product/502", "🔗 Купить продукт")</f>
        <v/>
      </c>
      <c r="I128" t="inlineStr">
        <is>
          <t>2-502-485</t>
        </is>
      </c>
    </row>
    <row r="129" ht="30" customHeight="1">
      <c r="A129" s="4" t="inlineStr">
        <is>
          <t>Жёсткие диски SSD</t>
        </is>
      </c>
      <c r="B129" s="4" t="inlineStr">
        <is>
          <t>SSD Накопитель DELL 1.6TB / SAS / MU / SSD</t>
        </is>
      </c>
      <c r="C129" s="5" t="inlineStr"/>
      <c r="D129" s="5" t="n">
        <v>10198608</v>
      </c>
      <c r="E129" s="5" t="n">
        <v>9105900</v>
      </c>
      <c r="F129" s="5" t="inlineStr"/>
      <c r="G129" s="5" t="inlineStr">
        <is>
          <t>Dell</t>
        </is>
      </c>
      <c r="H129" s="5">
        <f>HYPERLINK("https://itrix.uz/product/61", "🔗 Купить продукт")</f>
        <v/>
      </c>
      <c r="I129" t="inlineStr">
        <is>
          <t>2-61-67</t>
        </is>
      </c>
    </row>
    <row r="130" ht="30" customHeight="1">
      <c r="A130" s="4" t="inlineStr">
        <is>
          <t>Оперативная память (RAM)</t>
        </is>
      </c>
      <c r="B130" s="4" t="inlineStr">
        <is>
          <t>Оперативная память Samsung 32GB DDR4-2133MHz  2133P-RA0-10-DC0</t>
        </is>
      </c>
      <c r="C130" s="5" t="inlineStr"/>
      <c r="D130" s="5" t="n">
        <v>1365504</v>
      </c>
      <c r="E130" s="5" t="n">
        <v>1219200</v>
      </c>
      <c r="F130" s="5" t="inlineStr"/>
      <c r="G130" s="5" t="inlineStr">
        <is>
          <t>Samsung</t>
        </is>
      </c>
      <c r="H130" s="5">
        <f>HYPERLINK("https://itrix.uz/product/79", "🔗 Купить продукт")</f>
        <v/>
      </c>
      <c r="I130" t="inlineStr">
        <is>
          <t>2-79-85</t>
        </is>
      </c>
    </row>
    <row r="131" ht="30" customHeight="1">
      <c r="A131" s="4" t="inlineStr">
        <is>
          <t>Оперативная память (RAM)</t>
        </is>
      </c>
      <c r="B131" s="4" t="inlineStr">
        <is>
          <t>Оперативная память Samsung 16GB DDR4-2666MHz 2666V-EE1-11 UDIMM</t>
        </is>
      </c>
      <c r="C131" s="5" t="inlineStr"/>
      <c r="D131" s="5" t="n">
        <v>1379728</v>
      </c>
      <c r="E131" s="5" t="n">
        <v>1231900</v>
      </c>
      <c r="F131" s="5" t="inlineStr"/>
      <c r="G131" s="5" t="inlineStr">
        <is>
          <t>Samsung</t>
        </is>
      </c>
      <c r="H131" s="5">
        <f>HYPERLINK("https://itrix.uz/product/83", "🔗 Купить продукт")</f>
        <v/>
      </c>
      <c r="I131" t="inlineStr">
        <is>
          <t>2-83-89</t>
        </is>
      </c>
    </row>
    <row r="132" ht="30" customHeight="1">
      <c r="A132" s="4" t="inlineStr">
        <is>
          <t>Оперативная память (RAM)</t>
        </is>
      </c>
      <c r="B132" s="4" t="inlineStr">
        <is>
          <t>Операвтивная память HPE 16GB DDR4-2666Mhz 2666V-R SMART Kit</t>
        </is>
      </c>
      <c r="C132" s="5" t="inlineStr"/>
      <c r="D132" s="5" t="n">
        <v>1706880</v>
      </c>
      <c r="E132" s="5" t="n">
        <v>1524000</v>
      </c>
      <c r="F132" s="5" t="inlineStr"/>
      <c r="G132" s="5" t="inlineStr">
        <is>
          <t>HPE</t>
        </is>
      </c>
      <c r="H132" s="5">
        <f>HYPERLINK("https://itrix.uz/product/86", "🔗 Купить продукт")</f>
        <v/>
      </c>
      <c r="I132" t="inlineStr">
        <is>
          <t>2-86-92</t>
        </is>
      </c>
    </row>
    <row r="133" ht="30" customHeight="1">
      <c r="A133" s="4" t="inlineStr">
        <is>
          <t>Оперативная память (RAM)</t>
        </is>
      </c>
      <c r="B133" s="4" t="inlineStr">
        <is>
          <t xml:space="preserve">Оперативная память HPE 32GB DDR4-2666Mhz </t>
        </is>
      </c>
      <c r="C133" s="5" t="inlineStr"/>
      <c r="D133" s="5" t="n">
        <v>1991360</v>
      </c>
      <c r="E133" s="5" t="n">
        <v>1778000</v>
      </c>
      <c r="F133" s="5" t="inlineStr"/>
      <c r="G133" s="5" t="inlineStr">
        <is>
          <t>HPE</t>
        </is>
      </c>
      <c r="H133" s="5">
        <f>HYPERLINK("https://itrix.uz/product/89", "🔗 Купить продукт")</f>
        <v/>
      </c>
      <c r="I133" t="inlineStr">
        <is>
          <t>2-89-95</t>
        </is>
      </c>
    </row>
    <row r="134" ht="30" customHeight="1">
      <c r="A134" s="4" t="inlineStr">
        <is>
          <t>Оперативная память (RAM)</t>
        </is>
      </c>
      <c r="B134" s="4" t="inlineStr">
        <is>
          <t>Оперативная память HPE 32GB DDR4- 2400MHz 2400T-RB1-11</t>
        </is>
      </c>
      <c r="C134" s="5" t="inlineStr"/>
      <c r="D134" s="5" t="n">
        <v>1706880</v>
      </c>
      <c r="E134" s="5" t="n">
        <v>1524000</v>
      </c>
      <c r="F134" s="5" t="inlineStr"/>
      <c r="G134" s="5" t="inlineStr">
        <is>
          <t>HPE</t>
        </is>
      </c>
      <c r="H134" s="5">
        <f>HYPERLINK("https://itrix.uz/product/90", "🔗 Купить продукт")</f>
        <v/>
      </c>
      <c r="I134" t="inlineStr">
        <is>
          <t>2-90-96</t>
        </is>
      </c>
    </row>
    <row r="135" ht="30" customHeight="1">
      <c r="A135" s="4" t="inlineStr">
        <is>
          <t>Оперативная память (RAM)</t>
        </is>
      </c>
      <c r="B135" s="4" t="inlineStr">
        <is>
          <t>Оперативная память HPE 64GB DDR4-2933MHz 2933Y</t>
        </is>
      </c>
      <c r="C135" s="5" t="inlineStr"/>
      <c r="D135" s="5" t="n">
        <v>5476240</v>
      </c>
      <c r="E135" s="5" t="n">
        <v>4889500</v>
      </c>
      <c r="F135" s="5" t="inlineStr"/>
      <c r="G135" s="5" t="inlineStr">
        <is>
          <t>HPE</t>
        </is>
      </c>
      <c r="H135" s="5">
        <f>HYPERLINK("https://itrix.uz/product/92", "🔗 Купить продукт")</f>
        <v/>
      </c>
      <c r="I135" t="inlineStr">
        <is>
          <t>2-92-98</t>
        </is>
      </c>
    </row>
    <row r="136" ht="30" customHeight="1">
      <c r="A136" s="4" t="inlineStr">
        <is>
          <t>Оперативная память (RAM)</t>
        </is>
      </c>
      <c r="B136" s="4" t="inlineStr">
        <is>
          <t>Оперативная память HPE 16GB DDR4-3200MHz 3200AA</t>
        </is>
      </c>
      <c r="C136" s="5" t="inlineStr"/>
      <c r="D136" s="5" t="n">
        <v>1095248</v>
      </c>
      <c r="E136" s="5" t="n">
        <v>977900</v>
      </c>
      <c r="F136" s="5" t="inlineStr"/>
      <c r="G136" s="5" t="inlineStr">
        <is>
          <t>HPE</t>
        </is>
      </c>
      <c r="H136" s="5">
        <f>HYPERLINK("https://itrix.uz/product/93", "🔗 Купить продукт")</f>
        <v/>
      </c>
      <c r="I136" t="inlineStr">
        <is>
          <t>2-93-99</t>
        </is>
      </c>
    </row>
    <row r="137" ht="30" customHeight="1">
      <c r="A137" s="4" t="inlineStr">
        <is>
          <t>Оперативная память (RAM)</t>
        </is>
      </c>
      <c r="B137" s="4" t="inlineStr">
        <is>
          <t>Оперативная память HPE 16GB DDR4-3200MHz 3200AA UDIMM</t>
        </is>
      </c>
      <c r="C137" s="5" t="inlineStr"/>
      <c r="D137" s="5" t="n">
        <v>810768</v>
      </c>
      <c r="E137" s="5" t="n">
        <v>723900</v>
      </c>
      <c r="F137" s="5" t="inlineStr"/>
      <c r="G137" s="5" t="inlineStr">
        <is>
          <t>HPE</t>
        </is>
      </c>
      <c r="H137" s="5">
        <f>HYPERLINK("https://itrix.uz/product/95", "🔗 Купить продукт")</f>
        <v/>
      </c>
      <c r="I137" t="inlineStr">
        <is>
          <t>2-95-101</t>
        </is>
      </c>
    </row>
    <row r="138" ht="30" customHeight="1">
      <c r="A138" s="4" t="inlineStr">
        <is>
          <t>NVME</t>
        </is>
      </c>
      <c r="B138" s="4" t="inlineStr">
        <is>
          <t>3.2TB PCI-e NVMe / Mix Use / Express Flash / PCI-e 4.0</t>
        </is>
      </c>
      <c r="C138" s="5" t="inlineStr"/>
      <c r="D138" s="5" t="n">
        <v>12687808</v>
      </c>
      <c r="E138" s="5" t="n">
        <v>11328400</v>
      </c>
      <c r="F138" s="5" t="inlineStr"/>
      <c r="G138" s="5" t="inlineStr">
        <is>
          <t>Dell</t>
        </is>
      </c>
      <c r="H138" s="5">
        <f>HYPERLINK("https://itrix.uz/product/97", "🔗 Купить продукт")</f>
        <v/>
      </c>
      <c r="I138" t="inlineStr">
        <is>
          <t>2-97-103</t>
        </is>
      </c>
    </row>
    <row r="139" ht="30" customHeight="1">
      <c r="A139" s="4" t="inlineStr">
        <is>
          <t>NVME</t>
        </is>
      </c>
      <c r="B139" s="4" t="inlineStr">
        <is>
          <t>6.4TB PCI-e NVMe / Mix Use / Express Flash / PCI-e 4.0</t>
        </is>
      </c>
      <c r="C139" s="5" t="inlineStr"/>
      <c r="D139" s="5" t="n">
        <v>15162784</v>
      </c>
      <c r="E139" s="5" t="n">
        <v>13538200</v>
      </c>
      <c r="F139" s="5" t="inlineStr"/>
      <c r="G139" s="5" t="inlineStr">
        <is>
          <t>Dell</t>
        </is>
      </c>
      <c r="H139" s="5">
        <f>HYPERLINK("https://itrix.uz/product/98", "🔗 Купить продукт")</f>
        <v/>
      </c>
      <c r="I139" t="inlineStr">
        <is>
          <t>2-98-104</t>
        </is>
      </c>
    </row>
    <row r="140" ht="30" customHeight="1">
      <c r="A140" s="4" t="inlineStr">
        <is>
          <t>Аксессуары</t>
        </is>
      </c>
      <c r="B140" s="4" t="inlineStr">
        <is>
          <t>Сетевая интерфейсная карта DELL 57414 2port 25GB SFP28 OCP3</t>
        </is>
      </c>
      <c r="C140" s="5" t="inlineStr"/>
      <c r="D140" s="5" t="n">
        <v>4793488</v>
      </c>
      <c r="E140" s="5" t="n">
        <v>4279900</v>
      </c>
      <c r="F140" s="5" t="inlineStr"/>
      <c r="G140" s="5" t="inlineStr">
        <is>
          <t>Dell</t>
        </is>
      </c>
      <c r="H140" s="5">
        <f>HYPERLINK("https://itrix.uz/product/102", "🔗 Купить продукт")</f>
        <v/>
      </c>
      <c r="I140" t="inlineStr">
        <is>
          <t>2-102-365</t>
        </is>
      </c>
    </row>
    <row r="141" ht="30" customHeight="1">
      <c r="A141" s="4" t="inlineStr">
        <is>
          <t>Аксессуары</t>
        </is>
      </c>
      <c r="B141" s="4" t="inlineStr">
        <is>
          <t>Дисковая корзина HPE DL380 Gen10 Plus 8SFF NVMe Cage (1PORT)</t>
        </is>
      </c>
      <c r="C141" s="5" t="inlineStr"/>
      <c r="D141" s="5" t="n">
        <v>7083552</v>
      </c>
      <c r="E141" s="5" t="n">
        <v>6324600</v>
      </c>
      <c r="F141" s="5" t="inlineStr"/>
      <c r="G141" s="5" t="inlineStr">
        <is>
          <t>HPE</t>
        </is>
      </c>
      <c r="H141" s="5">
        <f>HYPERLINK("https://itrix.uz/product/105", "🔗 Купить продукт")</f>
        <v/>
      </c>
      <c r="I141" t="inlineStr">
        <is>
          <t>2-105-111</t>
        </is>
      </c>
    </row>
    <row r="142" ht="30" customHeight="1">
      <c r="A142" s="4" t="inlineStr">
        <is>
          <t>Блоки питания</t>
        </is>
      </c>
      <c r="B142" s="4" t="inlineStr">
        <is>
          <t>Блок питания HPE G10 Plus 1600W Flex Slot Platinum Hot Plug Low Halogen Power Supply</t>
        </is>
      </c>
      <c r="C142" s="5" t="inlineStr"/>
      <c r="D142" s="5" t="n">
        <v>4793488</v>
      </c>
      <c r="E142" s="5" t="n">
        <v>4279900</v>
      </c>
      <c r="F142" s="5" t="inlineStr"/>
      <c r="G142" s="5" t="inlineStr">
        <is>
          <t>HPE</t>
        </is>
      </c>
      <c r="H142" s="5">
        <f>HYPERLINK("https://itrix.uz/product/109", "🔗 Купить продукт")</f>
        <v/>
      </c>
      <c r="I142" t="inlineStr">
        <is>
          <t>2-109-115</t>
        </is>
      </c>
    </row>
    <row r="143" ht="30" customHeight="1">
      <c r="A143" s="4" t="inlineStr">
        <is>
          <t>Аксессуары</t>
        </is>
      </c>
      <c r="B143" s="4" t="inlineStr">
        <is>
          <t>Радиатор ЦП HPE DL360 G10+ High Performance Heatsink</t>
        </is>
      </c>
      <c r="C143" s="5" t="inlineStr"/>
      <c r="D143" s="5" t="n">
        <v>1365504</v>
      </c>
      <c r="E143" s="5" t="n">
        <v>1219200</v>
      </c>
      <c r="F143" s="5" t="inlineStr"/>
      <c r="G143" s="5" t="inlineStr">
        <is>
          <t>HPE</t>
        </is>
      </c>
      <c r="H143" s="5">
        <f>HYPERLINK("https://itrix.uz/product/111", "🔗 Купить продукт")</f>
        <v/>
      </c>
      <c r="I143" t="inlineStr">
        <is>
          <t>2-111-117</t>
        </is>
      </c>
    </row>
    <row r="144" ht="30" customHeight="1">
      <c r="A144" s="4" t="inlineStr">
        <is>
          <t>Аксессуары</t>
        </is>
      </c>
      <c r="B144" s="4" t="inlineStr">
        <is>
          <t>Салазки DELL 3.5" Caddy G15</t>
        </is>
      </c>
      <c r="C144" s="5" t="inlineStr"/>
      <c r="D144" s="5" t="n">
        <v>284480</v>
      </c>
      <c r="E144" s="5" t="n">
        <v>254000</v>
      </c>
      <c r="F144" s="5" t="inlineStr"/>
      <c r="G144" s="5" t="inlineStr">
        <is>
          <t>Dell</t>
        </is>
      </c>
      <c r="H144" s="5">
        <f>HYPERLINK("https://itrix.uz/product/119", "🔗 Купить продукт")</f>
        <v/>
      </c>
      <c r="I144" t="inlineStr">
        <is>
          <t>2-119-125</t>
        </is>
      </c>
    </row>
    <row r="145" ht="30" customHeight="1">
      <c r="A145" s="4" t="inlineStr">
        <is>
          <t>Аксессуары</t>
        </is>
      </c>
      <c r="B145" s="4" t="inlineStr">
        <is>
          <t>Модуль безопасности DELL TPM 2.0 Module</t>
        </is>
      </c>
      <c r="C145" s="5" t="inlineStr"/>
      <c r="D145" s="5" t="n">
        <v>2731008</v>
      </c>
      <c r="E145" s="5" t="n">
        <v>2438400</v>
      </c>
      <c r="F145" s="5" t="inlineStr"/>
      <c r="G145" s="5" t="inlineStr">
        <is>
          <t>Dell</t>
        </is>
      </c>
      <c r="H145" s="5">
        <f>HYPERLINK("https://itrix.uz/product/112", "🔗 Купить продукт")</f>
        <v/>
      </c>
      <c r="I145" t="inlineStr">
        <is>
          <t>2-112-118</t>
        </is>
      </c>
    </row>
    <row r="146" ht="30" customHeight="1">
      <c r="A146" s="4" t="inlineStr">
        <is>
          <t>Аксессуары</t>
        </is>
      </c>
      <c r="B146" s="4" t="inlineStr">
        <is>
          <t>Радиатор ЦП HPE DL380 G10 AMD High Performance Heatsink</t>
        </is>
      </c>
      <c r="C146" s="5" t="inlineStr"/>
      <c r="D146" s="5" t="n">
        <v>1365504</v>
      </c>
      <c r="E146" s="5" t="n">
        <v>1219200</v>
      </c>
      <c r="F146" s="5" t="inlineStr"/>
      <c r="G146" s="5" t="inlineStr">
        <is>
          <t>HPE</t>
        </is>
      </c>
      <c r="H146" s="5">
        <f>HYPERLINK("https://itrix.uz/product/113", "🔗 Купить продукт")</f>
        <v/>
      </c>
      <c r="I146" t="inlineStr">
        <is>
          <t>2-113-119</t>
        </is>
      </c>
    </row>
    <row r="147" ht="30" customHeight="1">
      <c r="A147" s="4" t="inlineStr">
        <is>
          <t>Аксессуары</t>
        </is>
      </c>
      <c r="B147" s="4" t="inlineStr">
        <is>
          <t>RAID-контроллер DELL Perc H345 RAID Controller</t>
        </is>
      </c>
      <c r="C147" s="5" t="inlineStr"/>
      <c r="D147" s="5" t="n">
        <v>4110736</v>
      </c>
      <c r="E147" s="5" t="n">
        <v>3670300</v>
      </c>
      <c r="F147" s="5" t="inlineStr"/>
      <c r="G147" s="5" t="inlineStr">
        <is>
          <t>Dell</t>
        </is>
      </c>
      <c r="H147" s="5">
        <f>HYPERLINK("https://itrix.uz/product/115", "🔗 Купить продукт")</f>
        <v/>
      </c>
      <c r="I147" t="inlineStr">
        <is>
          <t>2-115-121</t>
        </is>
      </c>
    </row>
    <row r="148" ht="30" customHeight="1">
      <c r="A148" s="4" t="inlineStr">
        <is>
          <t>Аксессуары</t>
        </is>
      </c>
      <c r="B148" s="4" t="inlineStr">
        <is>
          <t>Радиатор ЦП HPE ML110/150/350 G9 Heatsink</t>
        </is>
      </c>
      <c r="C148" s="5" t="inlineStr"/>
      <c r="D148" s="5" t="n">
        <v>554736</v>
      </c>
      <c r="E148" s="5" t="n">
        <v>495300</v>
      </c>
      <c r="F148" s="5" t="inlineStr"/>
      <c r="G148" s="5" t="inlineStr">
        <is>
          <t>HPE</t>
        </is>
      </c>
      <c r="H148" s="5">
        <f>HYPERLINK("https://itrix.uz/product/118", "🔗 Купить продукт")</f>
        <v/>
      </c>
      <c r="I148" t="inlineStr">
        <is>
          <t>2-118-124</t>
        </is>
      </c>
    </row>
    <row r="149" ht="30" customHeight="1">
      <c r="A149" s="4" t="inlineStr">
        <is>
          <t>Блоки питания</t>
        </is>
      </c>
      <c r="B149" s="4" t="inlineStr">
        <is>
          <t>Блок питания HPE 500W Flex Slot Platinum Hot Plug Low Halogen PS</t>
        </is>
      </c>
      <c r="C149" s="5" t="inlineStr"/>
      <c r="D149" s="5" t="n">
        <v>2531872</v>
      </c>
      <c r="E149" s="5" t="n">
        <v>2260600</v>
      </c>
      <c r="F149" s="5" t="inlineStr"/>
      <c r="G149" s="5" t="inlineStr">
        <is>
          <t>HPE</t>
        </is>
      </c>
      <c r="H149" s="5">
        <f>HYPERLINK("https://itrix.uz/product/120", "🔗 Купить продукт")</f>
        <v/>
      </c>
      <c r="I149" t="inlineStr">
        <is>
          <t>2-120-126</t>
        </is>
      </c>
    </row>
    <row r="150" ht="30" customHeight="1">
      <c r="A150" s="4" t="inlineStr">
        <is>
          <t>Аксессуары</t>
        </is>
      </c>
      <c r="B150" s="4" t="inlineStr">
        <is>
          <t>Сетевой адаптер HPE 331T 4x-1Gb 4-port PCIe</t>
        </is>
      </c>
      <c r="C150" s="5" t="inlineStr"/>
      <c r="D150" s="5" t="n">
        <v>2745232</v>
      </c>
      <c r="E150" s="5" t="n">
        <v>2451100</v>
      </c>
      <c r="F150" s="5" t="inlineStr"/>
      <c r="G150" s="5" t="inlineStr">
        <is>
          <t>HPE</t>
        </is>
      </c>
      <c r="H150" s="5">
        <f>HYPERLINK("https://itrix.uz/product/121", "🔗 Купить продукт")</f>
        <v/>
      </c>
      <c r="I150" t="inlineStr">
        <is>
          <t>2-121-127</t>
        </is>
      </c>
    </row>
    <row r="151" ht="30" customHeight="1">
      <c r="A151" s="4" t="inlineStr">
        <is>
          <t>Аксессуары</t>
        </is>
      </c>
      <c r="B151" s="4" t="inlineStr">
        <is>
          <t>Сетевая карта Intel X710-DA2 SFP+</t>
        </is>
      </c>
      <c r="C151" s="5" t="inlineStr"/>
      <c r="D151" s="5" t="n">
        <v>2702560</v>
      </c>
      <c r="E151" s="5" t="n">
        <v>2413000</v>
      </c>
      <c r="F151" s="5" t="inlineStr"/>
      <c r="G151" s="5" t="inlineStr">
        <is>
          <t>Intel</t>
        </is>
      </c>
      <c r="H151" s="5">
        <f>HYPERLINK("https://itrix.uz/product/122", "🔗 Купить продукт")</f>
        <v/>
      </c>
      <c r="I151" t="inlineStr">
        <is>
          <t>2-122-128</t>
        </is>
      </c>
    </row>
    <row r="152" ht="30" customHeight="1">
      <c r="A152" s="4" t="inlineStr">
        <is>
          <t>Аксессуары</t>
        </is>
      </c>
      <c r="B152" s="4" t="inlineStr">
        <is>
          <t>Сетевая карта HPE 560SFP+ 10Gb 2-port PCIe</t>
        </is>
      </c>
      <c r="C152" s="5" t="inlineStr"/>
      <c r="D152" s="5" t="n">
        <v>4110736</v>
      </c>
      <c r="E152" s="5" t="n">
        <v>3670300</v>
      </c>
      <c r="F152" s="5" t="inlineStr"/>
      <c r="G152" s="5" t="inlineStr">
        <is>
          <t>HPE</t>
        </is>
      </c>
      <c r="H152" s="5">
        <f>HYPERLINK("https://itrix.uz/product/123", "🔗 Купить продукт")</f>
        <v/>
      </c>
      <c r="I152" t="inlineStr">
        <is>
          <t>2-123-129</t>
        </is>
      </c>
    </row>
    <row r="153" ht="30" customHeight="1">
      <c r="A153" s="4" t="inlineStr">
        <is>
          <t>Аксессуары</t>
        </is>
      </c>
      <c r="B153" s="4" t="inlineStr">
        <is>
          <t>HBA Адаптер HPE SN1200E 16G 2-port FC HBA</t>
        </is>
      </c>
      <c r="C153" s="5" t="inlineStr"/>
      <c r="D153" s="5" t="n">
        <v>11635232</v>
      </c>
      <c r="E153" s="5" t="n">
        <v>10388600</v>
      </c>
      <c r="F153" s="5" t="inlineStr"/>
      <c r="G153" s="5" t="inlineStr">
        <is>
          <t>HPE</t>
        </is>
      </c>
      <c r="H153" s="5">
        <f>HYPERLINK("https://itrix.uz/product/124", "🔗 Купить продукт")</f>
        <v/>
      </c>
      <c r="I153" t="inlineStr">
        <is>
          <t>2-124-130</t>
        </is>
      </c>
    </row>
    <row r="154" ht="30" customHeight="1">
      <c r="A154" s="4" t="inlineStr">
        <is>
          <t>Аксессуары</t>
        </is>
      </c>
      <c r="B154" s="4" t="inlineStr">
        <is>
          <t>Вентилятор DELL R750 R7525 Silver High Performance Fan</t>
        </is>
      </c>
      <c r="C154" s="5" t="inlineStr"/>
      <c r="D154" s="5" t="n">
        <v>682752</v>
      </c>
      <c r="E154" s="5" t="n">
        <v>609600</v>
      </c>
      <c r="F154" s="5" t="inlineStr"/>
      <c r="G154" s="5" t="inlineStr">
        <is>
          <t>Dell</t>
        </is>
      </c>
      <c r="H154" s="5">
        <f>HYPERLINK("https://itrix.uz/product/125", "🔗 Купить продукт")</f>
        <v/>
      </c>
      <c r="I154" t="inlineStr">
        <is>
          <t>2-125-131</t>
        </is>
      </c>
    </row>
    <row r="155" ht="30" customHeight="1">
      <c r="A155" s="4" t="inlineStr">
        <is>
          <t>Аксессуары</t>
        </is>
      </c>
      <c r="B155" s="4" t="inlineStr">
        <is>
          <t>Модуль вентиляторов HPE DL380 G10 Plus Max High Performance Fan</t>
        </is>
      </c>
      <c r="C155" s="5" t="inlineStr"/>
      <c r="D155" s="5" t="n">
        <v>1024128</v>
      </c>
      <c r="E155" s="5" t="n">
        <v>914400</v>
      </c>
      <c r="F155" s="5" t="inlineStr"/>
      <c r="G155" s="5" t="inlineStr">
        <is>
          <t>HPE</t>
        </is>
      </c>
      <c r="H155" s="5">
        <f>HYPERLINK("https://itrix.uz/product/127", "🔗 Купить продукт")</f>
        <v/>
      </c>
      <c r="I155" t="inlineStr">
        <is>
          <t>2-127-133</t>
        </is>
      </c>
    </row>
    <row r="156" ht="30" customHeight="1">
      <c r="A156" s="4" t="inlineStr">
        <is>
          <t>Аксессуары</t>
        </is>
      </c>
      <c r="B156" s="4" t="inlineStr">
        <is>
          <t>Сетевая карта Broadcom 5720 1Gb 2-port PCIe</t>
        </is>
      </c>
      <c r="C156" s="5" t="inlineStr"/>
      <c r="D156" s="5" t="n">
        <v>2048256</v>
      </c>
      <c r="E156" s="5" t="n">
        <v>1828800</v>
      </c>
      <c r="F156" s="5" t="inlineStr"/>
      <c r="G156" s="5" t="inlineStr">
        <is>
          <t>Dell</t>
        </is>
      </c>
      <c r="H156" s="5">
        <f>HYPERLINK("https://itrix.uz/product/128", "🔗 Купить продукт")</f>
        <v/>
      </c>
      <c r="I156" t="inlineStr">
        <is>
          <t>2-128-134</t>
        </is>
      </c>
    </row>
    <row r="157" ht="30" customHeight="1">
      <c r="A157" s="4" t="inlineStr">
        <is>
          <t>Аксессуары</t>
        </is>
      </c>
      <c r="B157" s="4" t="inlineStr">
        <is>
          <t>HBA Адаптер 16Gb FC Single Channel HBA PCI-E 3.0 P9D93A SFP+ (SN1100Q)</t>
        </is>
      </c>
      <c r="C157" s="5" t="inlineStr"/>
      <c r="D157" s="5" t="n">
        <v>7823200</v>
      </c>
      <c r="E157" s="5" t="n">
        <v>6985000</v>
      </c>
      <c r="F157" s="5" t="inlineStr"/>
      <c r="G157" s="5" t="inlineStr">
        <is>
          <t>HPE</t>
        </is>
      </c>
      <c r="H157" s="5">
        <f>HYPERLINK("https://itrix.uz/product/129", "🔗 Купить продукт")</f>
        <v/>
      </c>
      <c r="I157" t="inlineStr">
        <is>
          <t>2-129-135</t>
        </is>
      </c>
    </row>
    <row r="158" ht="30" customHeight="1">
      <c r="A158" s="4" t="inlineStr">
        <is>
          <t>Аксессуары</t>
        </is>
      </c>
      <c r="B158" s="4" t="inlineStr">
        <is>
          <t>Сетевой адаптер HPE Broadcom BCM5719 Ethernet 1Gb 4-port BASE-T PCIe</t>
        </is>
      </c>
      <c r="C158" s="5" t="inlineStr"/>
      <c r="D158" s="5" t="n">
        <v>2731008</v>
      </c>
      <c r="E158" s="5" t="n">
        <v>2438400</v>
      </c>
      <c r="F158" s="5" t="inlineStr"/>
      <c r="G158" s="5" t="inlineStr">
        <is>
          <t>HPE</t>
        </is>
      </c>
      <c r="H158" s="5">
        <f>HYPERLINK("https://itrix.uz/product/131", "🔗 Купить продукт")</f>
        <v/>
      </c>
      <c r="I158" t="inlineStr">
        <is>
          <t>2-131-137</t>
        </is>
      </c>
    </row>
    <row r="159" ht="30" customHeight="1">
      <c r="A159" s="4" t="inlineStr">
        <is>
          <t>Аксессуары</t>
        </is>
      </c>
      <c r="B159" s="4" t="inlineStr">
        <is>
          <t xml:space="preserve">Сетевой адаптер HPE Broadcom BCM57414 Ethernet 10/25Gb 2-port SFP28 </t>
        </is>
      </c>
      <c r="C159" s="5" t="inlineStr"/>
      <c r="D159" s="5" t="n">
        <v>5476240</v>
      </c>
      <c r="E159" s="5" t="n">
        <v>4889500</v>
      </c>
      <c r="F159" s="5" t="inlineStr"/>
      <c r="G159" s="5" t="inlineStr">
        <is>
          <t>HPE</t>
        </is>
      </c>
      <c r="H159" s="5">
        <f>HYPERLINK("https://itrix.uz/product/133", "🔗 Купить продукт")</f>
        <v/>
      </c>
      <c r="I159" t="inlineStr">
        <is>
          <t>2-133-139</t>
        </is>
      </c>
    </row>
    <row r="160" ht="30" customHeight="1">
      <c r="A160" s="4" t="inlineStr">
        <is>
          <t>RAID-контроллер</t>
        </is>
      </c>
      <c r="B160" s="4" t="inlineStr">
        <is>
          <t>RAID Контроллер HPE Smart Array E208e-p SR Gen10 12G SAS 8Ext SA PCIe</t>
        </is>
      </c>
      <c r="C160" s="5" t="inlineStr"/>
      <c r="D160" s="5" t="n">
        <v>3499104</v>
      </c>
      <c r="E160" s="5" t="n">
        <v>3124200</v>
      </c>
      <c r="F160" s="5" t="inlineStr"/>
      <c r="G160" s="5" t="inlineStr">
        <is>
          <t>HPE</t>
        </is>
      </c>
      <c r="H160" s="5">
        <f>HYPERLINK("https://itrix.uz/product/145", "🔗 Купить продукт")</f>
        <v/>
      </c>
      <c r="I160" t="inlineStr">
        <is>
          <t>2-145-151</t>
        </is>
      </c>
    </row>
    <row r="161" ht="30" customHeight="1">
      <c r="A161" s="4" t="inlineStr">
        <is>
          <t>RAID-контроллер</t>
        </is>
      </c>
      <c r="B161" s="4" t="inlineStr">
        <is>
          <t>RAID Контроллер HPE P408i-a SR (Int.) 2gb Cache 12G SAS PCIe (incl.96W Batt)</t>
        </is>
      </c>
      <c r="C161" s="5" t="inlineStr"/>
      <c r="D161" s="5" t="n">
        <v>6841744</v>
      </c>
      <c r="E161" s="5" t="n">
        <v>6108700</v>
      </c>
      <c r="F161" s="5" t="inlineStr"/>
      <c r="G161" s="5" t="inlineStr">
        <is>
          <t>HPE</t>
        </is>
      </c>
      <c r="H161" s="5">
        <f>HYPERLINK("https://itrix.uz/product/147", "🔗 Купить продукт")</f>
        <v/>
      </c>
      <c r="I161" t="inlineStr">
        <is>
          <t>2-147-153</t>
        </is>
      </c>
    </row>
    <row r="162" ht="30" customHeight="1">
      <c r="A162" s="4" t="inlineStr">
        <is>
          <t>RAID-контроллер</t>
        </is>
      </c>
      <c r="B162" s="4" t="inlineStr">
        <is>
          <t>RAID Контроллер HPE P408e-p SR (Ext.) 4gb Cache 12G SAS PCIe (incl.96W Batt)</t>
        </is>
      </c>
      <c r="C162" s="5" t="inlineStr"/>
      <c r="D162" s="5" t="n">
        <v>6841744</v>
      </c>
      <c r="E162" s="5" t="n">
        <v>6108700</v>
      </c>
      <c r="F162" s="5" t="inlineStr"/>
      <c r="G162" s="5" t="inlineStr">
        <is>
          <t>HPE</t>
        </is>
      </c>
      <c r="H162" s="5">
        <f>HYPERLINK("https://itrix.uz/product/146", "🔗 Купить продукт")</f>
        <v/>
      </c>
      <c r="I162" t="inlineStr">
        <is>
          <t>2-146-152</t>
        </is>
      </c>
    </row>
    <row r="163" ht="30" customHeight="1">
      <c r="A163" s="4" t="inlineStr">
        <is>
          <t>RAID-контроллер</t>
        </is>
      </c>
      <c r="B163" s="4" t="inlineStr">
        <is>
          <t>RAID Контроллер HPE P816i-a SR (Int.) 4gb Cache 12G SAS PCIe (incl.96W Batt)</t>
        </is>
      </c>
      <c r="C163" s="5" t="inlineStr"/>
      <c r="D163" s="5" t="n">
        <v>7410704</v>
      </c>
      <c r="E163" s="5" t="n">
        <v>6616700</v>
      </c>
      <c r="F163" s="5" t="inlineStr"/>
      <c r="G163" s="5" t="inlineStr">
        <is>
          <t>HPE</t>
        </is>
      </c>
      <c r="H163" s="5">
        <f>HYPERLINK("https://itrix.uz/product/148", "🔗 Купить продукт")</f>
        <v/>
      </c>
      <c r="I163" t="inlineStr">
        <is>
          <t>2-148-154</t>
        </is>
      </c>
    </row>
    <row r="164" ht="30" customHeight="1">
      <c r="A164" s="4" t="inlineStr">
        <is>
          <t>RAID-контроллер</t>
        </is>
      </c>
      <c r="B164" s="4" t="inlineStr">
        <is>
          <t>RAID Контроллер HPE DL38X Gen10 12Gb SAS Expander Card Kit with Cables</t>
        </is>
      </c>
      <c r="C164" s="5" t="inlineStr"/>
      <c r="D164" s="5" t="n">
        <v>8733536</v>
      </c>
      <c r="E164" s="5" t="n">
        <v>7797800</v>
      </c>
      <c r="F164" s="5" t="inlineStr"/>
      <c r="G164" s="5" t="inlineStr">
        <is>
          <t>HPE</t>
        </is>
      </c>
      <c r="H164" s="5">
        <f>HYPERLINK("https://itrix.uz/product/149", "🔗 Купить продукт")</f>
        <v/>
      </c>
      <c r="I164" t="inlineStr">
        <is>
          <t>2-149-155</t>
        </is>
      </c>
    </row>
    <row r="165" ht="30" customHeight="1">
      <c r="A165" s="4" t="inlineStr">
        <is>
          <t>RAID-контроллер</t>
        </is>
      </c>
      <c r="B165" s="4" t="inlineStr">
        <is>
          <t xml:space="preserve">RAID Контроллер DELL PERC H755 8Gb RAID </t>
        </is>
      </c>
      <c r="C165" s="5" t="inlineStr"/>
      <c r="D165" s="5" t="n">
        <v>8207248</v>
      </c>
      <c r="E165" s="5" t="n">
        <v>7327900</v>
      </c>
      <c r="F165" s="5" t="inlineStr"/>
      <c r="G165" s="5" t="inlineStr">
        <is>
          <t>Dell</t>
        </is>
      </c>
      <c r="H165" s="5">
        <f>HYPERLINK("https://itrix.uz/product/150", "🔗 Купить продукт")</f>
        <v/>
      </c>
      <c r="I165" t="inlineStr">
        <is>
          <t>2-150-156</t>
        </is>
      </c>
    </row>
    <row r="166" ht="30" customHeight="1">
      <c r="A166" s="4" t="inlineStr">
        <is>
          <t>RAID-контроллер</t>
        </is>
      </c>
      <c r="B166" s="4" t="inlineStr">
        <is>
          <t>RAID Контроллер DELL PERC H355 Adapter</t>
        </is>
      </c>
      <c r="C166" s="5" t="inlineStr"/>
      <c r="D166" s="5" t="n">
        <v>3940048</v>
      </c>
      <c r="E166" s="5" t="n">
        <v>3517900</v>
      </c>
      <c r="F166" s="5" t="inlineStr"/>
      <c r="G166" s="5" t="inlineStr">
        <is>
          <t>Dell</t>
        </is>
      </c>
      <c r="H166" s="5">
        <f>HYPERLINK("https://itrix.uz/product/151", "🔗 Купить продукт")</f>
        <v/>
      </c>
      <c r="I166" t="inlineStr">
        <is>
          <t>2-151-157</t>
        </is>
      </c>
    </row>
    <row r="167" ht="30" customHeight="1">
      <c r="A167" s="4" t="inlineStr">
        <is>
          <t>RAID-контроллер</t>
        </is>
      </c>
      <c r="B167" s="4" t="inlineStr">
        <is>
          <t>RAID Контроллер DELL PERC H755N 8Gb RAID NVMe</t>
        </is>
      </c>
      <c r="C167" s="5" t="inlineStr"/>
      <c r="D167" s="5" t="n">
        <v>7723632</v>
      </c>
      <c r="E167" s="5" t="n">
        <v>6896100</v>
      </c>
      <c r="F167" s="5" t="inlineStr"/>
      <c r="G167" s="5" t="inlineStr">
        <is>
          <t>Dell</t>
        </is>
      </c>
      <c r="H167" s="5">
        <f>HYPERLINK("https://itrix.uz/product/153", "🔗 Купить продукт")</f>
        <v/>
      </c>
      <c r="I167" t="inlineStr">
        <is>
          <t>2-153-159</t>
        </is>
      </c>
    </row>
    <row r="168" ht="30" customHeight="1">
      <c r="A168" s="4" t="inlineStr">
        <is>
          <t>Блоки питания</t>
        </is>
      </c>
      <c r="B168" s="4" t="inlineStr">
        <is>
          <t>Блок питания HPE 500W Flex Slot Platinum Hot Plug</t>
        </is>
      </c>
      <c r="C168" s="5" t="inlineStr"/>
      <c r="D168" s="5" t="n">
        <v>2034032</v>
      </c>
      <c r="E168" s="5" t="n">
        <v>1816100</v>
      </c>
      <c r="F168" s="5" t="inlineStr"/>
      <c r="G168" s="5" t="inlineStr">
        <is>
          <t>HPE</t>
        </is>
      </c>
      <c r="H168" s="5">
        <f>HYPERLINK("https://itrix.uz/product/154", "🔗 Купить продукт")</f>
        <v/>
      </c>
      <c r="I168" t="inlineStr">
        <is>
          <t>2-154-160</t>
        </is>
      </c>
    </row>
    <row r="169" ht="30" customHeight="1">
      <c r="A169" s="4" t="inlineStr">
        <is>
          <t>Блоки питания</t>
        </is>
      </c>
      <c r="B169" s="4" t="inlineStr">
        <is>
          <t>Блок питания HPE 800W Flex Slot Platinum Hot Plug</t>
        </is>
      </c>
      <c r="C169" s="5" t="inlineStr"/>
      <c r="D169" s="5" t="n">
        <v>2745232</v>
      </c>
      <c r="E169" s="5" t="n">
        <v>2451100</v>
      </c>
      <c r="F169" s="5" t="inlineStr"/>
      <c r="G169" s="5" t="inlineStr">
        <is>
          <t>HPE</t>
        </is>
      </c>
      <c r="H169" s="5">
        <f>HYPERLINK("https://itrix.uz/product/156", "🔗 Купить продукт")</f>
        <v/>
      </c>
      <c r="I169" t="inlineStr">
        <is>
          <t>2-156-162</t>
        </is>
      </c>
    </row>
    <row r="170" ht="30" customHeight="1">
      <c r="A170" s="4" t="inlineStr">
        <is>
          <t>Комплектующие</t>
        </is>
      </c>
      <c r="B170" s="4" t="inlineStr">
        <is>
          <t>Источник бесперебойного питания on-line, 40 кВА (PF1.0) серии Intelligent SNR</t>
        </is>
      </c>
      <c r="C170" s="5" t="inlineStr"/>
      <c r="D170" s="5" t="n">
        <v>60193550</v>
      </c>
      <c r="E170" s="5" t="n">
        <v>53744241</v>
      </c>
      <c r="F170" s="5" t="inlineStr"/>
      <c r="G170" s="5" t="inlineStr">
        <is>
          <t>SNR</t>
        </is>
      </c>
      <c r="H170" s="5">
        <f>HYPERLINK("https://itrix.uz/product/884", "🔗 Купить продукт")</f>
        <v/>
      </c>
      <c r="I170" t="inlineStr">
        <is>
          <t>2-884-774</t>
        </is>
      </c>
    </row>
    <row r="171" ht="30" customHeight="1">
      <c r="A171" s="4" t="inlineStr">
        <is>
          <t>Блоки питания</t>
        </is>
      </c>
      <c r="B171" s="4" t="inlineStr">
        <is>
          <t>Блок питания Dell 2400W Platinum PSU</t>
        </is>
      </c>
      <c r="C171" s="5" t="inlineStr"/>
      <c r="D171" s="5" t="n">
        <v>9131808</v>
      </c>
      <c r="E171" s="5" t="n">
        <v>8153400</v>
      </c>
      <c r="F171" s="5" t="inlineStr"/>
      <c r="G171" s="5" t="inlineStr"/>
      <c r="H171" s="5">
        <f>HYPERLINK("https://itrix.uz/product/564", "🔗 Купить продукт")</f>
        <v/>
      </c>
      <c r="I171" t="inlineStr">
        <is>
          <t>2-564-527</t>
        </is>
      </c>
    </row>
    <row r="172" ht="30" customHeight="1">
      <c r="A172" s="4" t="inlineStr">
        <is>
          <t>Аксессуары</t>
        </is>
      </c>
      <c r="B172" s="4" t="inlineStr">
        <is>
          <t>Сетевая карта Mellanox ConnectX-5 MCX556A-ECAT 2x 100GbE QSFP28 Network PCIe x16 Controller</t>
        </is>
      </c>
      <c r="C172" s="5" t="inlineStr"/>
      <c r="D172" s="5" t="n">
        <v>42672000</v>
      </c>
      <c r="E172" s="5" t="n">
        <v>38100000</v>
      </c>
      <c r="F172" s="5" t="inlineStr"/>
      <c r="G172" s="5" t="inlineStr"/>
      <c r="H172" s="5">
        <f>HYPERLINK("https://itrix.uz/product/557", "🔗 Купить продукт")</f>
        <v/>
      </c>
      <c r="I172" t="inlineStr">
        <is>
          <t>2-557-520</t>
        </is>
      </c>
    </row>
    <row r="173" ht="30" customHeight="1">
      <c r="A173" s="4" t="inlineStr">
        <is>
          <t>Аксессуары</t>
        </is>
      </c>
      <c r="B173" s="4" t="inlineStr">
        <is>
          <t>Патч-корд ZTT LC-LC OM4/LSZH/Duplex 3м</t>
        </is>
      </c>
      <c r="C173" s="5" t="inlineStr"/>
      <c r="D173" s="5" t="n">
        <v>1991360</v>
      </c>
      <c r="E173" s="5" t="n">
        <v>1778000</v>
      </c>
      <c r="F173" s="5" t="inlineStr"/>
      <c r="G173" s="5" t="inlineStr"/>
      <c r="H173" s="5">
        <f>HYPERLINK("https://itrix.uz/product/562", "🔗 Купить продукт")</f>
        <v/>
      </c>
      <c r="I173" t="inlineStr">
        <is>
          <t>2-562-525</t>
        </is>
      </c>
    </row>
    <row r="174" ht="30" customHeight="1">
      <c r="A174" s="4" t="inlineStr">
        <is>
          <t>Комплектующие</t>
        </is>
      </c>
      <c r="B174" s="4" t="inlineStr">
        <is>
          <t>Western Digital My Book 8TB USB 3.0 External HDD</t>
        </is>
      </c>
      <c r="C174" s="5" t="inlineStr"/>
      <c r="D174" s="5" t="n">
        <v>12744704</v>
      </c>
      <c r="E174" s="5" t="n">
        <v>11379200</v>
      </c>
      <c r="F174" s="5" t="inlineStr"/>
      <c r="G174" s="5" t="inlineStr">
        <is>
          <t>Western Digital</t>
        </is>
      </c>
      <c r="H174" s="5">
        <f>HYPERLINK("https://itrix.uz/product/596", "🔗 Купить продукт")</f>
        <v/>
      </c>
      <c r="I174" t="inlineStr">
        <is>
          <t>2-596-551</t>
        </is>
      </c>
    </row>
    <row r="175" ht="30" customHeight="1">
      <c r="A175" s="4" t="inlineStr">
        <is>
          <t>Аксессуары</t>
        </is>
      </c>
      <c r="B175" s="4" t="inlineStr">
        <is>
          <t>Extralink DAC кабель QSFP28, 100 Гбит/с, 1 м, Passive</t>
        </is>
      </c>
      <c r="C175" s="5" t="inlineStr"/>
      <c r="D175" s="5" t="n">
        <v>910336</v>
      </c>
      <c r="E175" s="5" t="n">
        <v>812800</v>
      </c>
      <c r="F175" s="5" t="inlineStr"/>
      <c r="G175" s="5" t="inlineStr"/>
      <c r="H175" s="5">
        <f>HYPERLINK("https://itrix.uz/product/560", "🔗 Купить продукт")</f>
        <v/>
      </c>
      <c r="I175" t="inlineStr">
        <is>
          <t>2-560-523</t>
        </is>
      </c>
    </row>
    <row r="176" ht="30" customHeight="1">
      <c r="A176" s="4" t="inlineStr">
        <is>
          <t>Аксессуары</t>
        </is>
      </c>
      <c r="B176" s="4" t="inlineStr">
        <is>
          <t>Патчкорд оптический LC/UPC-SC/UPC SM G.657.A1 3 метра</t>
        </is>
      </c>
      <c r="C176" s="5" t="inlineStr"/>
      <c r="D176" s="5" t="n">
        <v>113792</v>
      </c>
      <c r="E176" s="5" t="n">
        <v>101600</v>
      </c>
      <c r="F176" s="5" t="inlineStr"/>
      <c r="G176" s="5" t="inlineStr"/>
      <c r="H176" s="5">
        <f>HYPERLINK("https://itrix.uz/product/563", "🔗 Купить продукт")</f>
        <v/>
      </c>
      <c r="I176" t="inlineStr">
        <is>
          <t>2-563-526</t>
        </is>
      </c>
    </row>
    <row r="177" ht="30" customHeight="1">
      <c r="A177" s="4" t="inlineStr">
        <is>
          <t>Аксессуары</t>
        </is>
      </c>
      <c r="B177" s="4" t="inlineStr">
        <is>
          <t>Dell SFP28 SR Optic, 25GbE, 85C, for all SFP28 ports</t>
        </is>
      </c>
      <c r="C177" s="5" t="inlineStr"/>
      <c r="D177" s="5" t="n">
        <v>1906016</v>
      </c>
      <c r="E177" s="5" t="n">
        <v>1701800</v>
      </c>
      <c r="F177" s="5" t="inlineStr"/>
      <c r="G177" s="5" t="inlineStr">
        <is>
          <t>Dell</t>
        </is>
      </c>
      <c r="H177" s="5">
        <f>HYPERLINK("https://itrix.uz/product/559", "🔗 Купить продукт")</f>
        <v/>
      </c>
      <c r="I177" t="inlineStr">
        <is>
          <t>2-559-522</t>
        </is>
      </c>
    </row>
    <row r="178">
      <c r="A178" s="4" t="inlineStr">
        <is>
          <t>Комплектующие</t>
        </is>
      </c>
      <c r="B178" s="4" t="inlineStr">
        <is>
          <t>Источник бесперебойного питания он-лайн SNR ELEMENT II 2000ВА/2000Вт (PF-1.0), 1ф:1ф (220-240В), 48В (DC) (4x9Ач)</t>
        </is>
      </c>
      <c r="C178" s="5" t="inlineStr"/>
      <c r="D178" s="5" t="n">
        <v>8662416</v>
      </c>
      <c r="E178" s="5" t="n">
        <v>7734300</v>
      </c>
      <c r="F178" s="5" t="inlineStr"/>
      <c r="G178" s="5" t="inlineStr">
        <is>
          <t>SNR</t>
        </is>
      </c>
      <c r="H178" s="5">
        <f>HYPERLINK("https://itrix.uz/product/886", "🔗 Купить продукт")</f>
        <v/>
      </c>
      <c r="I178" t="inlineStr">
        <is>
          <t>2-886-776</t>
        </is>
      </c>
    </row>
    <row r="179" ht="30" customHeight="1">
      <c r="A179" s="4" t="inlineStr">
        <is>
          <t>Лицензии ПО</t>
        </is>
      </c>
      <c r="B179" s="4" t="inlineStr">
        <is>
          <t>VMware vSphere 8 Enterprise Plus (1 CPU)</t>
        </is>
      </c>
      <c r="C179" s="5" t="inlineStr"/>
      <c r="D179" s="5" t="n">
        <v>11379200</v>
      </c>
      <c r="E179" s="5" t="n">
        <v>10160000</v>
      </c>
      <c r="F179" s="5" t="inlineStr"/>
      <c r="G179" s="5" t="inlineStr"/>
      <c r="H179" s="5">
        <f>HYPERLINK("https://itrix.uz/product/566", "🔗 Купить продукт")</f>
        <v/>
      </c>
      <c r="I179" t="inlineStr">
        <is>
          <t>2-566-528</t>
        </is>
      </c>
    </row>
    <row r="180" ht="30" customHeight="1">
      <c r="A180" s="4" t="inlineStr">
        <is>
          <t>Лицензии ПО</t>
        </is>
      </c>
      <c r="B180" s="4" t="inlineStr">
        <is>
          <t>vCenter Server Standard + SnS 3 года</t>
        </is>
      </c>
      <c r="C180" s="5" t="inlineStr"/>
      <c r="D180" s="5" t="n">
        <v>21336000</v>
      </c>
      <c r="E180" s="5" t="n">
        <v>19050000</v>
      </c>
      <c r="F180" s="5" t="inlineStr"/>
      <c r="G180" s="5" t="inlineStr"/>
      <c r="H180" s="5">
        <f>HYPERLINK("https://itrix.uz/product/567", "🔗 Купить продукт")</f>
        <v/>
      </c>
      <c r="I180" t="inlineStr">
        <is>
          <t>2-567-529</t>
        </is>
      </c>
    </row>
    <row r="181" ht="30" customHeight="1">
      <c r="A181" s="4" t="inlineStr">
        <is>
          <t>Лицензии ПО</t>
        </is>
      </c>
      <c r="B181" s="4" t="inlineStr">
        <is>
          <t>SnS (3 года) на vSphere</t>
        </is>
      </c>
      <c r="C181" s="5" t="inlineStr"/>
      <c r="D181" s="5" t="n">
        <v>4267200</v>
      </c>
      <c r="E181" s="5" t="n">
        <v>3810000</v>
      </c>
      <c r="F181" s="5" t="inlineStr"/>
      <c r="G181" s="5" t="inlineStr"/>
      <c r="H181" s="5">
        <f>HYPERLINK("https://itrix.uz/product/568", "🔗 Купить продукт")</f>
        <v/>
      </c>
      <c r="I181" t="inlineStr">
        <is>
          <t>2-568-530</t>
        </is>
      </c>
    </row>
    <row r="182" ht="30" customHeight="1">
      <c r="A182" s="4" t="inlineStr">
        <is>
          <t>Жёсткие диски SSD</t>
        </is>
      </c>
      <c r="B182" s="4" t="inlineStr">
        <is>
          <t>SSD накопитель HPE 7.68TB SAS RI BC SED FIPS PM6 SSD</t>
        </is>
      </c>
      <c r="C182" s="5" t="inlineStr"/>
      <c r="D182" s="5" t="n">
        <v>170161712</v>
      </c>
      <c r="E182" s="5" t="n">
        <v>151930100</v>
      </c>
      <c r="F182" s="5" t="inlineStr"/>
      <c r="G182" s="5" t="inlineStr">
        <is>
          <t>HPE</t>
        </is>
      </c>
      <c r="H182" s="5">
        <f>HYPERLINK("https://itrix.uz/product/525", "🔗 Купить продукт")</f>
        <v/>
      </c>
      <c r="I182" t="inlineStr">
        <is>
          <t>2-525-499</t>
        </is>
      </c>
    </row>
    <row r="183" ht="30" customHeight="1">
      <c r="A183" s="4" t="inlineStr">
        <is>
          <t>Аксессуары</t>
        </is>
      </c>
      <c r="B183" s="4" t="inlineStr">
        <is>
          <t>Кабель питания C13 - C14, 2.5м</t>
        </is>
      </c>
      <c r="C183" s="5" t="inlineStr"/>
      <c r="D183" s="5" t="n">
        <v>227584</v>
      </c>
      <c r="E183" s="5" t="n">
        <v>203200</v>
      </c>
      <c r="F183" s="5" t="inlineStr"/>
      <c r="G183" s="5" t="inlineStr"/>
      <c r="H183" s="5">
        <f>HYPERLINK("https://itrix.uz/product/545", "🔗 Купить продукт")</f>
        <v/>
      </c>
      <c r="I183" t="inlineStr">
        <is>
          <t>2-545-509</t>
        </is>
      </c>
    </row>
    <row r="184" ht="30" customHeight="1">
      <c r="A184" s="4" t="inlineStr">
        <is>
          <t>M2 SATA диски</t>
        </is>
      </c>
      <c r="B184" s="4" t="inlineStr">
        <is>
          <t>M2 SATA накопитель HPE 480GB SATA RI SSD M.2 6G</t>
        </is>
      </c>
      <c r="C184" s="5" t="inlineStr"/>
      <c r="D184" s="5" t="n">
        <v>3143504</v>
      </c>
      <c r="E184" s="5" t="n">
        <v>2806700</v>
      </c>
      <c r="F184" s="5" t="inlineStr"/>
      <c r="G184" s="5" t="inlineStr">
        <is>
          <t>HPE</t>
        </is>
      </c>
      <c r="H184" s="5">
        <f>HYPERLINK("https://itrix.uz/product/540", "🔗 Купить продукт")</f>
        <v/>
      </c>
      <c r="I184" t="inlineStr">
        <is>
          <t>2-540-505</t>
        </is>
      </c>
    </row>
    <row r="185" ht="30" customHeight="1">
      <c r="A185" s="4" t="inlineStr">
        <is>
          <t>Процессоры</t>
        </is>
      </c>
      <c r="B185" s="4" t="inlineStr">
        <is>
          <t>Intel Xeon-Gold 6448H (2.4GHz/32-core/250W)</t>
        </is>
      </c>
      <c r="C185" s="5" t="inlineStr"/>
      <c r="D185" s="5" t="n">
        <v>164998400</v>
      </c>
      <c r="E185" s="5" t="n">
        <v>147320000</v>
      </c>
      <c r="F185" s="5" t="inlineStr"/>
      <c r="G185" s="5" t="inlineStr">
        <is>
          <t>Intel</t>
        </is>
      </c>
      <c r="H185" s="5">
        <f>HYPERLINK("https://itrix.uz/product/538", "🔗 Купить продукт")</f>
        <v/>
      </c>
      <c r="I185" t="inlineStr">
        <is>
          <t>2-538-503</t>
        </is>
      </c>
    </row>
    <row r="186" ht="30" customHeight="1">
      <c r="A186" s="4" t="inlineStr">
        <is>
          <t>Лицензии ПО</t>
        </is>
      </c>
      <c r="B186" s="4" t="inlineStr">
        <is>
          <t>FortiGuard Enterprise Protection Bundle (3 year)</t>
        </is>
      </c>
      <c r="C186" s="5" t="inlineStr"/>
      <c r="D186" s="5" t="n">
        <v>217228928</v>
      </c>
      <c r="E186" s="5" t="n">
        <v>193954400</v>
      </c>
      <c r="F186" s="5" t="inlineStr"/>
      <c r="G186" s="5" t="inlineStr"/>
      <c r="H186" s="5">
        <f>HYPERLINK("https://itrix.uz/product/611", "🔗 Купить продукт")</f>
        <v/>
      </c>
      <c r="I186" t="inlineStr">
        <is>
          <t>2-611-565</t>
        </is>
      </c>
    </row>
    <row r="187" ht="30" customHeight="1">
      <c r="A187" s="4" t="inlineStr">
        <is>
          <t>Аксессуары</t>
        </is>
      </c>
      <c r="B187" s="4" t="inlineStr">
        <is>
          <t>HBA адаптер HPE SN1700Q 64Gb DP FC HBA (R7N87A)</t>
        </is>
      </c>
      <c r="C187" s="5" t="inlineStr"/>
      <c r="D187" s="5" t="n">
        <v>43297856</v>
      </c>
      <c r="E187" s="5" t="n">
        <v>38658800</v>
      </c>
      <c r="F187" s="5" t="inlineStr"/>
      <c r="G187" s="5" t="inlineStr">
        <is>
          <t>HPE</t>
        </is>
      </c>
      <c r="H187" s="5">
        <f>HYPERLINK("https://itrix.uz/product/541", "🔗 Купить продукт")</f>
        <v/>
      </c>
      <c r="I187" t="inlineStr">
        <is>
          <t>2-541-506</t>
        </is>
      </c>
    </row>
    <row r="188" ht="30" customHeight="1">
      <c r="A188" s="4" t="inlineStr">
        <is>
          <t>Аксессуары</t>
        </is>
      </c>
      <c r="B188" s="4" t="inlineStr">
        <is>
          <t>Система охлаждения HPE DL380/DL560 G11 High Perf 2U Heat Sink Kit</t>
        </is>
      </c>
      <c r="C188" s="5" t="inlineStr"/>
      <c r="D188" s="5" t="n">
        <v>2133600</v>
      </c>
      <c r="E188" s="5" t="n">
        <v>1905000</v>
      </c>
      <c r="F188" s="5" t="inlineStr"/>
      <c r="G188" s="5" t="inlineStr">
        <is>
          <t>HPE</t>
        </is>
      </c>
      <c r="H188" s="5">
        <f>HYPERLINK("https://itrix.uz/product/526", "🔗 Купить продукт")</f>
        <v/>
      </c>
      <c r="I188" t="inlineStr">
        <is>
          <t>2-526-500</t>
        </is>
      </c>
    </row>
    <row r="189" ht="30" customHeight="1">
      <c r="A189" s="4" t="inlineStr">
        <is>
          <t>Аксессуары</t>
        </is>
      </c>
      <c r="B189" s="4" t="inlineStr">
        <is>
          <t>Контроллер Dell HBA330 External Controller</t>
        </is>
      </c>
      <c r="C189" s="5" t="inlineStr"/>
      <c r="D189" s="5" t="n">
        <v>2773680</v>
      </c>
      <c r="E189" s="5" t="n">
        <v>2476500</v>
      </c>
      <c r="F189" s="5" t="inlineStr"/>
      <c r="G189" s="5" t="inlineStr">
        <is>
          <t>Dell</t>
        </is>
      </c>
      <c r="H189" s="5">
        <f>HYPERLINK("https://itrix.uz/product/518", "🔗 Купить продукт")</f>
        <v/>
      </c>
      <c r="I189" t="inlineStr">
        <is>
          <t>2-518-494</t>
        </is>
      </c>
    </row>
    <row r="190" ht="30" customHeight="1">
      <c r="A190" s="4" t="inlineStr">
        <is>
          <t>Оперативная память (RAM)</t>
        </is>
      </c>
      <c r="B190" s="4" t="inlineStr">
        <is>
          <t>Оперативная память HPE P52600-001 128GB 4Rx4 PC5-4800B-R 3DS Smart Kit</t>
        </is>
      </c>
      <c r="C190" s="5" t="inlineStr"/>
      <c r="D190" s="5" t="n">
        <v>128016000</v>
      </c>
      <c r="E190" s="5" t="n">
        <v>114300000</v>
      </c>
      <c r="F190" s="5" t="inlineStr"/>
      <c r="G190" s="5" t="inlineStr">
        <is>
          <t>HPE</t>
        </is>
      </c>
      <c r="H190" s="5">
        <f>HYPERLINK("https://itrix.uz/product/522", "🔗 Купить продукт")</f>
        <v/>
      </c>
      <c r="I190" t="inlineStr">
        <is>
          <t>2-522-496</t>
        </is>
      </c>
    </row>
    <row r="191" ht="30" customHeight="1">
      <c r="A191" s="4" t="inlineStr">
        <is>
          <t>Блоки питания</t>
        </is>
      </c>
      <c r="B191" s="4" t="inlineStr">
        <is>
          <t>DELL Power Supply (1 PSU) 1100W Hot Plug, Mixed Mode, Kit for G15</t>
        </is>
      </c>
      <c r="C191" s="5" t="inlineStr"/>
      <c r="D191" s="5" t="n">
        <v>3200400</v>
      </c>
      <c r="E191" s="5" t="n">
        <v>2857500</v>
      </c>
      <c r="F191" s="5" t="inlineStr"/>
      <c r="G191" s="5" t="inlineStr">
        <is>
          <t>Dell</t>
        </is>
      </c>
      <c r="H191" s="5">
        <f>HYPERLINK("https://itrix.uz/product/158", "🔗 Купить продукт")</f>
        <v/>
      </c>
      <c r="I191" t="inlineStr">
        <is>
          <t>2-158-164</t>
        </is>
      </c>
    </row>
    <row r="192" ht="30" customHeight="1">
      <c r="A192" s="4" t="inlineStr">
        <is>
          <t>Оперативная память (RAM)</t>
        </is>
      </c>
      <c r="B192" s="4" t="inlineStr">
        <is>
          <t>Samsung 32GB DDR4-3200Mhz 3200AA-RB2-12</t>
        </is>
      </c>
      <c r="C192" s="5" t="inlineStr"/>
      <c r="D192" s="5" t="n">
        <v>1564640</v>
      </c>
      <c r="E192" s="5" t="n">
        <v>1397000</v>
      </c>
      <c r="F192" s="5" t="inlineStr"/>
      <c r="G192" s="5" t="inlineStr">
        <is>
          <t>Samsung</t>
        </is>
      </c>
      <c r="H192" s="5">
        <f>HYPERLINK("https://itrix.uz/product/85", "🔗 Купить продукт")</f>
        <v/>
      </c>
      <c r="I192" t="inlineStr">
        <is>
          <t>2-85-91</t>
        </is>
      </c>
    </row>
    <row r="193" ht="30" customHeight="1">
      <c r="A193" s="4" t="inlineStr">
        <is>
          <t>Аксессуары</t>
        </is>
      </c>
      <c r="B193" s="4" t="inlineStr">
        <is>
          <t>Переходник с 2.5 на 3.5 для лотка (Tray Adapter)</t>
        </is>
      </c>
      <c r="C193" s="5" t="inlineStr"/>
      <c r="D193" s="5" t="n">
        <v>128016</v>
      </c>
      <c r="E193" s="5" t="n">
        <v>114300</v>
      </c>
      <c r="F193" s="5" t="inlineStr"/>
      <c r="G193" s="5" t="inlineStr"/>
      <c r="H193" s="5">
        <f>HYPERLINK("https://itrix.uz/product/647", "🔗 Купить продукт")</f>
        <v/>
      </c>
      <c r="I193" t="inlineStr">
        <is>
          <t>2-647-585</t>
        </is>
      </c>
    </row>
    <row r="194" ht="30" customHeight="1">
      <c r="A194" s="4" t="inlineStr">
        <is>
          <t>Комплектующие</t>
        </is>
      </c>
      <c r="B194" s="4" t="inlineStr">
        <is>
          <t>Источник бесперебойного питания on-line SNR серии Intelligent 1000 VA, 36VDC</t>
        </is>
      </c>
      <c r="C194" s="5" t="inlineStr"/>
      <c r="D194" s="5" t="n">
        <v>4584537</v>
      </c>
      <c r="E194" s="5" t="n">
        <v>4093337</v>
      </c>
      <c r="F194" s="5" t="inlineStr"/>
      <c r="G194" s="5" t="inlineStr">
        <is>
          <t>SNR</t>
        </is>
      </c>
      <c r="H194" s="5">
        <f>HYPERLINK("https://itrix.uz/product/893", "🔗 Купить продукт")</f>
        <v/>
      </c>
      <c r="I194" t="inlineStr">
        <is>
          <t>2-893-783</t>
        </is>
      </c>
    </row>
    <row r="195" ht="30" customHeight="1">
      <c r="A195" s="4" t="inlineStr">
        <is>
          <t>Аксессуары</t>
        </is>
      </c>
      <c r="B195" s="4" t="inlineStr">
        <is>
          <t>Салазки (трей) 3.5" для жёстких дисков Dell</t>
        </is>
      </c>
      <c r="C195" s="5" t="inlineStr"/>
      <c r="D195" s="5" t="n">
        <v>130861</v>
      </c>
      <c r="E195" s="5" t="n">
        <v>116840</v>
      </c>
      <c r="F195" s="5" t="inlineStr"/>
      <c r="G195" s="5" t="inlineStr"/>
      <c r="H195" s="5">
        <f>HYPERLINK("https://itrix.uz/product/649", "🔗 Купить продукт")</f>
        <v/>
      </c>
      <c r="I195" t="inlineStr">
        <is>
          <t>2-649-586</t>
        </is>
      </c>
    </row>
    <row r="196" ht="30" customHeight="1">
      <c r="A196" s="4" t="inlineStr">
        <is>
          <t>Комплектующие</t>
        </is>
      </c>
      <c r="B196" s="4" t="inlineStr">
        <is>
          <t>Источник бесперебойного питания on-line, 15 кВА (PF1.0) серии Intelligent SNR-UPS</t>
        </is>
      </c>
      <c r="C196" s="5" t="inlineStr"/>
      <c r="D196" s="5" t="n">
        <v>36437052</v>
      </c>
      <c r="E196" s="5" t="n">
        <v>32533082</v>
      </c>
      <c r="F196" s="5" t="inlineStr"/>
      <c r="G196" s="5" t="inlineStr">
        <is>
          <t>SNR</t>
        </is>
      </c>
      <c r="H196" s="5">
        <f>HYPERLINK("https://itrix.uz/product/887", "🔗 Купить продукт")</f>
        <v/>
      </c>
      <c r="I196" t="inlineStr">
        <is>
          <t>2-887-777</t>
        </is>
      </c>
    </row>
    <row r="197" ht="30" customHeight="1">
      <c r="A197" s="4" t="inlineStr">
        <is>
          <t>Лицензии ПО</t>
        </is>
      </c>
      <c r="B197" s="4" t="inlineStr">
        <is>
          <t>Лицензия на HPE iLO 6 Enterprise - 1 год</t>
        </is>
      </c>
      <c r="C197" s="5" t="inlineStr"/>
      <c r="D197" s="5" t="n">
        <v>6400800</v>
      </c>
      <c r="E197" s="5" t="n">
        <v>5715000</v>
      </c>
      <c r="F197" s="5" t="inlineStr"/>
      <c r="G197" s="5" t="inlineStr">
        <is>
          <t>HPE</t>
        </is>
      </c>
      <c r="H197" s="5">
        <f>HYPERLINK("https://itrix.uz/product/542", "🔗 Купить продукт")</f>
        <v/>
      </c>
      <c r="I197" t="inlineStr">
        <is>
          <t>2-542-507</t>
        </is>
      </c>
    </row>
    <row r="198" ht="30" customHeight="1">
      <c r="A198" s="4" t="inlineStr">
        <is>
          <t>Комплектующие</t>
        </is>
      </c>
      <c r="B198" s="4" t="inlineStr">
        <is>
          <t>Силовой модуль 15 кВА/15 кВт для источника бесперебойного питания серии СМ (SNR-UPS-ONPM-15CMX33)</t>
        </is>
      </c>
      <c r="C198" s="5" t="inlineStr"/>
      <c r="D198" s="5" t="n">
        <v>36309463</v>
      </c>
      <c r="E198" s="5" t="n">
        <v>32419163</v>
      </c>
      <c r="F198" s="5" t="inlineStr"/>
      <c r="G198" s="5" t="inlineStr">
        <is>
          <t>SNR</t>
        </is>
      </c>
      <c r="H198" s="5">
        <f>HYPERLINK("https://itrix.uz/product/888", "🔗 Купить продукт")</f>
        <v/>
      </c>
      <c r="I198" t="inlineStr">
        <is>
          <t>2-888-778</t>
        </is>
      </c>
    </row>
    <row r="199" ht="30" customHeight="1">
      <c r="A199" s="4" t="inlineStr">
        <is>
          <t>Комплектующие</t>
        </is>
      </c>
      <c r="B199" s="4" t="inlineStr">
        <is>
          <t>Источник бесперебойного питания On-line, 10 000 VA серии Intelligent (SNR-UPS-ONRT-10000-INT)</t>
        </is>
      </c>
      <c r="C199" s="5" t="inlineStr"/>
      <c r="D199" s="5" t="n">
        <v>22416597</v>
      </c>
      <c r="E199" s="5" t="n">
        <v>20014819</v>
      </c>
      <c r="F199" s="5" t="inlineStr"/>
      <c r="G199" s="5" t="inlineStr">
        <is>
          <t>SNR</t>
        </is>
      </c>
      <c r="H199" s="5">
        <f>HYPERLINK("https://itrix.uz/product/896", "🔗 Купить продукт")</f>
        <v/>
      </c>
      <c r="I199" t="inlineStr">
        <is>
          <t>2-896-786</t>
        </is>
      </c>
    </row>
    <row r="200" ht="30" customHeight="1">
      <c r="A200" s="4" t="inlineStr">
        <is>
          <t>Аксессуары</t>
        </is>
      </c>
      <c r="B200" s="4" t="inlineStr">
        <is>
          <t xml:space="preserve">USB гарнитура (наушник) Grandstream GUV3000 </t>
        </is>
      </c>
      <c r="C200" s="5" t="inlineStr"/>
      <c r="D200" s="5" t="n">
        <v>409651</v>
      </c>
      <c r="E200" s="5" t="n">
        <v>365760</v>
      </c>
      <c r="F200" s="5" t="inlineStr"/>
      <c r="G200" s="5" t="inlineStr">
        <is>
          <t>Grandstream</t>
        </is>
      </c>
      <c r="H200" s="5">
        <f>HYPERLINK("https://itrix.uz/product/939", "🔗 Купить продукт")</f>
        <v/>
      </c>
      <c r="I200" t="inlineStr">
        <is>
          <t>2-939-829</t>
        </is>
      </c>
    </row>
    <row r="201" ht="30" customHeight="1">
      <c r="A201" s="4" t="inlineStr">
        <is>
          <t>Аксессуары</t>
        </is>
      </c>
      <c r="B201" s="4" t="inlineStr">
        <is>
          <t>FS 3m (10ft) 25G SFP28 Passive Direct Attach Copper Twinax Cable for FS Switches</t>
        </is>
      </c>
      <c r="C201" s="5" t="inlineStr"/>
      <c r="D201" s="5" t="n">
        <v>625856</v>
      </c>
      <c r="E201" s="5" t="n">
        <v>558800</v>
      </c>
      <c r="F201" s="5" t="inlineStr"/>
      <c r="G201" s="5" t="inlineStr"/>
      <c r="H201" s="5">
        <f>HYPERLINK("https://itrix.uz/product/561", "🔗 Купить продукт")</f>
        <v/>
      </c>
      <c r="I201" t="inlineStr">
        <is>
          <t>2-561-524</t>
        </is>
      </c>
    </row>
    <row r="202" ht="30" customHeight="1">
      <c r="A202" s="4" t="inlineStr">
        <is>
          <t>Аксессуары</t>
        </is>
      </c>
      <c r="B202" s="4" t="inlineStr">
        <is>
          <t>Оптический модуль Brocade 64G FC SFP+ SWL Fiber Channel Transceiver 57-1000495-01 XBR-000462 G720</t>
        </is>
      </c>
      <c r="C202" s="5" t="inlineStr"/>
      <c r="D202" s="5" t="n">
        <v>5319776</v>
      </c>
      <c r="E202" s="5" t="n">
        <v>4749800</v>
      </c>
      <c r="F202" s="5" t="inlineStr"/>
      <c r="G202" s="5" t="inlineStr"/>
      <c r="H202" s="5">
        <f>HYPERLINK("https://itrix.uz/product/554", "🔗 Купить продукт")</f>
        <v/>
      </c>
      <c r="I202" t="inlineStr">
        <is>
          <t>2-554-517</t>
        </is>
      </c>
    </row>
    <row r="203">
      <c r="A203" s="4" t="inlineStr">
        <is>
          <t>Аксессуары</t>
        </is>
      </c>
      <c r="B203" s="4" t="inlineStr">
        <is>
          <t>Оптический модуль Dell Networking Transceiver, 100GbE QSFP28 SR4, MPO,MMF (4x25GbE SFP28 SR quad mode)</t>
        </is>
      </c>
      <c r="C203" s="5" t="inlineStr"/>
      <c r="D203" s="5" t="n">
        <v>2332736</v>
      </c>
      <c r="E203" s="5" t="n">
        <v>2082800</v>
      </c>
      <c r="F203" s="5" t="inlineStr"/>
      <c r="G203" s="5" t="inlineStr"/>
      <c r="H203" s="5">
        <f>HYPERLINK("https://itrix.uz/product/558", "🔗 Купить продукт")</f>
        <v/>
      </c>
      <c r="I203" t="inlineStr">
        <is>
          <t>2-558-521</t>
        </is>
      </c>
    </row>
    <row r="204">
      <c r="A204" s="4" t="inlineStr">
        <is>
          <t>Комплектующие</t>
        </is>
      </c>
      <c r="B204" s="4" t="inlineStr">
        <is>
          <t>Шасси модульного источника бесперебойного питания 30 кВА/30 кВт серии СМ, 2 слота для силовых модулей 15 кВА/15 кВт (SNR-UPS-ONRT-030-15CMX33)</t>
        </is>
      </c>
      <c r="C204" s="5" t="inlineStr"/>
      <c r="D204" s="5" t="n">
        <v>53126498</v>
      </c>
      <c r="E204" s="5" t="n">
        <v>47434373</v>
      </c>
      <c r="F204" s="5" t="inlineStr"/>
      <c r="G204" s="5" t="inlineStr">
        <is>
          <t>SNR</t>
        </is>
      </c>
      <c r="H204" s="5">
        <f>HYPERLINK("https://itrix.uz/product/889", "🔗 Купить продукт")</f>
        <v/>
      </c>
      <c r="I204" t="inlineStr">
        <is>
          <t>2-889-779</t>
        </is>
      </c>
    </row>
    <row r="205" ht="30" customHeight="1">
      <c r="A205" s="4" t="inlineStr">
        <is>
          <t>Комплектующие</t>
        </is>
      </c>
      <c r="B205" s="4" t="inlineStr">
        <is>
          <t>Источник бесперебойного питания on-line SNR серии Intelligent 3000 VA, 96VDC</t>
        </is>
      </c>
      <c r="C205" s="5" t="inlineStr"/>
      <c r="D205" s="5" t="n">
        <v>11575633</v>
      </c>
      <c r="E205" s="5" t="n">
        <v>10335387</v>
      </c>
      <c r="F205" s="5" t="inlineStr"/>
      <c r="G205" s="5" t="inlineStr">
        <is>
          <t>SNR</t>
        </is>
      </c>
      <c r="H205" s="5">
        <f>HYPERLINK("https://itrix.uz/product/890", "🔗 Купить продукт")</f>
        <v/>
      </c>
      <c r="I205" t="inlineStr">
        <is>
          <t>2-890-780</t>
        </is>
      </c>
    </row>
    <row r="206" ht="30" customHeight="1">
      <c r="A206" s="4" t="inlineStr">
        <is>
          <t>Комплектующие</t>
        </is>
      </c>
      <c r="B206" s="4" t="inlineStr">
        <is>
          <t>Источник бесперебойного питания on-line SNR серии Intelligent 2000 VA, 72VDC</t>
        </is>
      </c>
      <c r="C206" s="5" t="inlineStr"/>
      <c r="D206" s="5" t="n">
        <v>7088388</v>
      </c>
      <c r="E206" s="5" t="n">
        <v>6328918</v>
      </c>
      <c r="F206" s="5" t="inlineStr"/>
      <c r="G206" s="5" t="inlineStr">
        <is>
          <t>SNR</t>
        </is>
      </c>
      <c r="H206" s="5">
        <f>HYPERLINK("https://itrix.uz/product/891", "🔗 Купить продукт")</f>
        <v/>
      </c>
      <c r="I206" t="inlineStr">
        <is>
          <t>2-891-781</t>
        </is>
      </c>
    </row>
    <row r="207" ht="30" customHeight="1">
      <c r="A207" s="4" t="inlineStr">
        <is>
          <t>Комплектующие</t>
        </is>
      </c>
      <c r="B207" s="4" t="inlineStr">
        <is>
          <t>Источник бесперебойного питания on-line, 25 кВА (PF1.0) серии Intelligent (SNR-UPS-ONRT-25-INTXL33)</t>
        </is>
      </c>
      <c r="C207" s="5" t="inlineStr"/>
      <c r="D207" s="5" t="n">
        <v>62818589</v>
      </c>
      <c r="E207" s="5" t="n">
        <v>56088026</v>
      </c>
      <c r="F207" s="5" t="inlineStr"/>
      <c r="G207" s="5" t="inlineStr">
        <is>
          <t>SNR</t>
        </is>
      </c>
      <c r="H207" s="5">
        <f>HYPERLINK("https://itrix.uz/product/892", "🔗 Купить продукт")</f>
        <v/>
      </c>
      <c r="I207" t="inlineStr">
        <is>
          <t>2-892-782</t>
        </is>
      </c>
    </row>
    <row r="208">
      <c r="A208" s="4" t="inlineStr">
        <is>
          <t>Комплектующие</t>
        </is>
      </c>
      <c r="B208" s="4" t="inlineStr">
        <is>
          <t>Источник бесперебойного питания он-лайн SNR ELEMENT II(E) 3000ВА/2700Вт, 1ф:1ф (208-240В), 72В (DC) (6x7Ач)</t>
        </is>
      </c>
      <c r="C208" s="5" t="inlineStr"/>
      <c r="D208" s="5" t="n">
        <v>8369686</v>
      </c>
      <c r="E208" s="5" t="n">
        <v>7472934</v>
      </c>
      <c r="F208" s="5" t="inlineStr"/>
      <c r="G208" s="5" t="inlineStr">
        <is>
          <t>SNR</t>
        </is>
      </c>
      <c r="H208" s="5">
        <f>HYPERLINK("https://itrix.uz/product/885", "🔗 Купить продукт")</f>
        <v/>
      </c>
      <c r="I208" t="inlineStr">
        <is>
          <t>2-885-775</t>
        </is>
      </c>
    </row>
    <row r="209" ht="30" customHeight="1">
      <c r="A209" s="4" t="inlineStr">
        <is>
          <t>Видео карты</t>
        </is>
      </c>
      <c r="B209" s="4" t="inlineStr">
        <is>
          <t>Видеокарта NVIDIA RTX PRO 5000 Blackwell 72GB</t>
        </is>
      </c>
      <c r="C209" s="5" t="inlineStr"/>
      <c r="D209" s="5" t="n">
        <v>180075840</v>
      </c>
      <c r="E209" s="5" t="n">
        <v>160782000</v>
      </c>
      <c r="F209" s="5" t="inlineStr"/>
      <c r="G209" s="5" t="inlineStr">
        <is>
          <t>Nvidia</t>
        </is>
      </c>
      <c r="H209" s="5">
        <f>HYPERLINK("https://itrix.uz/product/1443", "🔗 Купить продукт")</f>
        <v/>
      </c>
      <c r="I209" t="inlineStr">
        <is>
          <t>2-1443-1143</t>
        </is>
      </c>
    </row>
    <row r="210" ht="30" customHeight="1">
      <c r="A210" s="4" t="inlineStr">
        <is>
          <t>Видео карты</t>
        </is>
      </c>
      <c r="B210" s="4" t="inlineStr">
        <is>
          <t>Видеокарта NVIDIA RTX PRO 6000 Blackwell Workstation Edition 96GB</t>
        </is>
      </c>
      <c r="C210" s="5" t="inlineStr"/>
      <c r="D210" s="5" t="n">
        <v>232135680</v>
      </c>
      <c r="E210" s="5" t="n">
        <v>207264000</v>
      </c>
      <c r="F210" s="5" t="inlineStr"/>
      <c r="G210" s="5" t="inlineStr">
        <is>
          <t>Nvidia</t>
        </is>
      </c>
      <c r="H210" s="5">
        <f>HYPERLINK("https://itrix.uz/product/1444", "🔗 Купить продукт")</f>
        <v/>
      </c>
      <c r="I210" t="inlineStr">
        <is>
          <t>2-1444-1144</t>
        </is>
      </c>
    </row>
    <row r="211" ht="30" customHeight="1">
      <c r="A211" s="4" t="inlineStr">
        <is>
          <t>Блоки питания</t>
        </is>
      </c>
      <c r="B211" s="4" t="inlineStr">
        <is>
          <t>Блок питания Cisco PWR-C1-715WAC-P</t>
        </is>
      </c>
      <c r="C211" s="5" t="inlineStr"/>
      <c r="D211" s="5" t="n">
        <v>26029920</v>
      </c>
      <c r="E211" s="5" t="n">
        <v>23241000</v>
      </c>
      <c r="F211" s="5" t="inlineStr"/>
      <c r="G211" s="5" t="inlineStr">
        <is>
          <t>Cisco</t>
        </is>
      </c>
      <c r="H211" s="5">
        <f>HYPERLINK("https://itrix.uz/product/1246", "🔗 Купить продукт")</f>
        <v/>
      </c>
      <c r="I211" t="inlineStr">
        <is>
          <t>2-1246-957</t>
        </is>
      </c>
    </row>
    <row r="212" ht="30" customHeight="1">
      <c r="A212" s="4" t="inlineStr">
        <is>
          <t>Аксессуары</t>
        </is>
      </c>
      <c r="B212" s="4" t="inlineStr">
        <is>
          <t>Гарнитура Cisco HS-WL-730-BUNA-C</t>
        </is>
      </c>
      <c r="C212" s="5" t="inlineStr"/>
      <c r="D212" s="5" t="n">
        <v>15652090</v>
      </c>
      <c r="E212" s="5" t="n">
        <v>13975080</v>
      </c>
      <c r="F212" s="5" t="inlineStr"/>
      <c r="G212" s="5" t="inlineStr">
        <is>
          <t>Cisco</t>
        </is>
      </c>
      <c r="H212" s="5">
        <f>HYPERLINK("https://itrix.uz/product/1158", "🔗 Купить продукт")</f>
        <v/>
      </c>
      <c r="I212" t="inlineStr">
        <is>
          <t>2-1158-889</t>
        </is>
      </c>
    </row>
    <row r="213" ht="30" customHeight="1">
      <c r="A213" s="4" t="inlineStr">
        <is>
          <t>Блоки питания</t>
        </is>
      </c>
      <c r="B213" s="4" t="inlineStr">
        <is>
          <t>Источник бесперебойного питания APC  Back-UPS BE850G2-GR</t>
        </is>
      </c>
      <c r="C213" s="5" t="inlineStr"/>
      <c r="D213" s="5" t="n">
        <v>4096512</v>
      </c>
      <c r="E213" s="5" t="n">
        <v>3657600</v>
      </c>
      <c r="F213" s="5" t="inlineStr"/>
      <c r="G213" s="5" t="inlineStr">
        <is>
          <t>APC</t>
        </is>
      </c>
      <c r="H213" s="5">
        <f>HYPERLINK("https://itrix.uz/product/1162", "🔗 Купить продукт")</f>
        <v/>
      </c>
      <c r="I213" t="inlineStr">
        <is>
          <t>2-1162-893</t>
        </is>
      </c>
    </row>
    <row r="214" ht="30" customHeight="1">
      <c r="A214" s="4" t="inlineStr">
        <is>
          <t>Блоки питания</t>
        </is>
      </c>
      <c r="B214" s="4" t="inlineStr">
        <is>
          <t>Источник бесперебойного питания APC  UPS- BE650G2-GR</t>
        </is>
      </c>
      <c r="C214" s="5" t="inlineStr"/>
      <c r="D214" s="5" t="n">
        <v>2987040</v>
      </c>
      <c r="E214" s="5" t="n">
        <v>2667000</v>
      </c>
      <c r="F214" s="5" t="inlineStr"/>
      <c r="G214" s="5" t="inlineStr">
        <is>
          <t>APC</t>
        </is>
      </c>
      <c r="H214" s="5">
        <f>HYPERLINK("https://itrix.uz/product/1160", "🔗 Купить продукт")</f>
        <v/>
      </c>
      <c r="I214" t="inlineStr">
        <is>
          <t>2-1160-891</t>
        </is>
      </c>
    </row>
    <row r="215" ht="30" customHeight="1">
      <c r="A215" s="4" t="inlineStr">
        <is>
          <t>Блоки питания</t>
        </is>
      </c>
      <c r="B215" s="4" t="inlineStr">
        <is>
          <t>Источник бесперебойного питания APC Easy-UPS BV1000I-GR</t>
        </is>
      </c>
      <c r="C215" s="5" t="inlineStr"/>
      <c r="D215" s="5" t="n">
        <v>1570330</v>
      </c>
      <c r="E215" s="5" t="n">
        <v>1402080</v>
      </c>
      <c r="F215" s="5" t="inlineStr"/>
      <c r="G215" s="5" t="inlineStr">
        <is>
          <t>APC</t>
        </is>
      </c>
      <c r="H215" s="5">
        <f>HYPERLINK("https://itrix.uz/product/1164", "🔗 Купить продукт")</f>
        <v/>
      </c>
      <c r="I215" t="inlineStr">
        <is>
          <t>2-1164-894</t>
        </is>
      </c>
    </row>
    <row r="216" ht="30" customHeight="1">
      <c r="A216" s="4" t="inlineStr">
        <is>
          <t>Блоки питания</t>
        </is>
      </c>
      <c r="B216" s="4" t="inlineStr">
        <is>
          <t>Источник бесперебойного питания APC Easy -UPS SR SRV1KI</t>
        </is>
      </c>
      <c r="C216" s="5" t="inlineStr"/>
      <c r="D216" s="5" t="n">
        <v>5991149</v>
      </c>
      <c r="E216" s="5" t="n">
        <v>5349240</v>
      </c>
      <c r="F216" s="5" t="inlineStr"/>
      <c r="G216" s="5" t="inlineStr">
        <is>
          <t>APC</t>
        </is>
      </c>
      <c r="H216" s="5">
        <f>HYPERLINK("https://itrix.uz/product/1166", "🔗 Купить продукт")</f>
        <v/>
      </c>
      <c r="I216" t="inlineStr">
        <is>
          <t>2-1166-896</t>
        </is>
      </c>
    </row>
    <row r="217" ht="30" customHeight="1">
      <c r="A217" s="4" t="inlineStr">
        <is>
          <t>Блоки питания</t>
        </is>
      </c>
      <c r="B217" s="4" t="inlineStr">
        <is>
          <t>Источник бесперебойного питания APC BX750MI-GR</t>
        </is>
      </c>
      <c r="C217" s="5" t="inlineStr"/>
      <c r="D217" s="5" t="n">
        <v>2321357</v>
      </c>
      <c r="E217" s="5" t="n">
        <v>2072640</v>
      </c>
      <c r="F217" s="5" t="inlineStr"/>
      <c r="G217" s="5" t="inlineStr">
        <is>
          <t>APC</t>
        </is>
      </c>
      <c r="H217" s="5">
        <f>HYPERLINK("https://itrix.uz/product/1161", "🔗 Купить продукт")</f>
        <v/>
      </c>
      <c r="I217" t="inlineStr">
        <is>
          <t>2-1161-892</t>
        </is>
      </c>
    </row>
    <row r="218" ht="30" customHeight="1">
      <c r="A218" s="4" t="inlineStr">
        <is>
          <t>Аксессуары</t>
        </is>
      </c>
      <c r="B218" s="4" t="inlineStr">
        <is>
          <t>Bluetooth Моно-гарнитура Jabra BlueParrott M300-XT</t>
        </is>
      </c>
      <c r="C218" s="5" t="inlineStr"/>
      <c r="D218" s="5" t="n">
        <v>1365504</v>
      </c>
      <c r="E218" s="5" t="n">
        <v>1219200</v>
      </c>
      <c r="F218" s="5" t="inlineStr"/>
      <c r="G218" s="5" t="inlineStr">
        <is>
          <t>JABRA</t>
        </is>
      </c>
      <c r="H218" s="5">
        <f>HYPERLINK("https://itrix.uz/product/1172", "🔗 Купить продукт")</f>
        <v/>
      </c>
      <c r="I218" t="inlineStr">
        <is>
          <t>2-1172-902</t>
        </is>
      </c>
    </row>
    <row r="219" ht="30" customHeight="1">
      <c r="A219" s="4" t="inlineStr">
        <is>
          <t>Аксессуары</t>
        </is>
      </c>
      <c r="B219" s="4" t="inlineStr">
        <is>
          <t>Гарнитура Jabra Evolve2 50 USB C/A UC Stereo</t>
        </is>
      </c>
      <c r="C219" s="5" t="inlineStr"/>
      <c r="D219" s="5" t="n">
        <v>3055315</v>
      </c>
      <c r="E219" s="5" t="n">
        <v>2727960</v>
      </c>
      <c r="F219" s="5" t="inlineStr"/>
      <c r="G219" s="5" t="inlineStr">
        <is>
          <t>JABRA</t>
        </is>
      </c>
      <c r="H219" s="5">
        <f>HYPERLINK("https://itrix.uz/product/1190", "🔗 Купить продукт")</f>
        <v/>
      </c>
      <c r="I219" t="inlineStr">
        <is>
          <t>2-1190-920</t>
        </is>
      </c>
    </row>
    <row r="220" ht="30" customHeight="1">
      <c r="A220" s="4" t="inlineStr">
        <is>
          <t>Аксессуары</t>
        </is>
      </c>
      <c r="B220" s="4" t="inlineStr">
        <is>
          <t>Гарнитура Cisco CP-HS-W-522-USB</t>
        </is>
      </c>
      <c r="C220" s="5" t="inlineStr"/>
      <c r="D220" s="5" t="n">
        <v>5718048</v>
      </c>
      <c r="E220" s="5" t="n">
        <v>5105400</v>
      </c>
      <c r="F220" s="5" t="inlineStr"/>
      <c r="G220" s="5" t="inlineStr">
        <is>
          <t>Cisco</t>
        </is>
      </c>
      <c r="H220" s="5">
        <f>HYPERLINK("https://itrix.uz/product/1180", "🔗 Купить продукт")</f>
        <v/>
      </c>
      <c r="I220" t="inlineStr">
        <is>
          <t>2-1180-910</t>
        </is>
      </c>
    </row>
    <row r="221" ht="30" customHeight="1">
      <c r="A221" s="4" t="inlineStr">
        <is>
          <t>Аксессуары</t>
        </is>
      </c>
      <c r="B221" s="4" t="inlineStr">
        <is>
          <t xml:space="preserve">Гарнитура Jabra BIZ 1500 Duo </t>
        </is>
      </c>
      <c r="C221" s="5" t="inlineStr"/>
      <c r="D221" s="5" t="n">
        <v>1416710</v>
      </c>
      <c r="E221" s="5" t="n">
        <v>1264920</v>
      </c>
      <c r="F221" s="5" t="inlineStr"/>
      <c r="G221" s="5" t="inlineStr">
        <is>
          <t>JABRA</t>
        </is>
      </c>
      <c r="H221" s="5">
        <f>HYPERLINK("https://itrix.uz/product/1181", "🔗 Купить продукт")</f>
        <v/>
      </c>
      <c r="I221" t="inlineStr">
        <is>
          <t>2-1181-911</t>
        </is>
      </c>
    </row>
    <row r="222" ht="30" customHeight="1">
      <c r="A222" s="4" t="inlineStr">
        <is>
          <t>Аксессуары</t>
        </is>
      </c>
      <c r="B222" s="4" t="inlineStr">
        <is>
          <t>Беспроводные наушники Jabra Evolve2 Buds USB-C MS</t>
        </is>
      </c>
      <c r="C222" s="5" t="inlineStr"/>
      <c r="D222" s="5" t="n">
        <v>5803392</v>
      </c>
      <c r="E222" s="5" t="n">
        <v>5181600</v>
      </c>
      <c r="F222" s="5" t="inlineStr"/>
      <c r="G222" s="5" t="inlineStr">
        <is>
          <t>JABRA</t>
        </is>
      </c>
      <c r="H222" s="5">
        <f>HYPERLINK("https://itrix.uz/product/1197", "🔗 Купить продукт")</f>
        <v/>
      </c>
      <c r="I222" t="inlineStr">
        <is>
          <t>2-1197-927</t>
        </is>
      </c>
    </row>
    <row r="223" ht="30" customHeight="1">
      <c r="A223" s="4" t="inlineStr">
        <is>
          <t>Аксессуары</t>
        </is>
      </c>
      <c r="B223" s="4" t="inlineStr">
        <is>
          <t>Гарнитура Jabra Evolve2 65 Link380a MS Mono Black</t>
        </is>
      </c>
      <c r="C223" s="5" t="inlineStr"/>
      <c r="D223" s="5" t="n">
        <v>3755136</v>
      </c>
      <c r="E223" s="5" t="n">
        <v>3352800</v>
      </c>
      <c r="F223" s="5" t="inlineStr"/>
      <c r="G223" s="5" t="inlineStr">
        <is>
          <t>JABRA</t>
        </is>
      </c>
      <c r="H223" s="5">
        <f>HYPERLINK("https://itrix.uz/product/1194", "🔗 Купить продукт")</f>
        <v/>
      </c>
      <c r="I223" t="inlineStr">
        <is>
          <t>2-1194-924</t>
        </is>
      </c>
    </row>
    <row r="224" ht="30" customHeight="1">
      <c r="A224" s="4" t="inlineStr">
        <is>
          <t>Аксессуары</t>
        </is>
      </c>
      <c r="B224" s="4" t="inlineStr">
        <is>
          <t>Гарнитура Jabra Evolve2 75 Link380a MS Stereo Black</t>
        </is>
      </c>
      <c r="C224" s="5" t="inlineStr"/>
      <c r="D224" s="5" t="n">
        <v>5974080</v>
      </c>
      <c r="E224" s="5" t="n">
        <v>5334000</v>
      </c>
      <c r="F224" s="5" t="inlineStr"/>
      <c r="G224" s="5" t="inlineStr">
        <is>
          <t>JABRA</t>
        </is>
      </c>
      <c r="H224" s="5">
        <f>HYPERLINK("https://itrix.uz/product/1196", "🔗 Купить продукт")</f>
        <v/>
      </c>
      <c r="I224" t="inlineStr">
        <is>
          <t>2-1196-926</t>
        </is>
      </c>
    </row>
    <row r="225" ht="30" customHeight="1">
      <c r="A225" s="4" t="inlineStr">
        <is>
          <t>Аксессуары</t>
        </is>
      </c>
      <c r="B225" s="4" t="inlineStr">
        <is>
          <t>Гарнитура Jabra Evolve 20 MonoMS</t>
        </is>
      </c>
      <c r="C225" s="5" t="inlineStr"/>
      <c r="D225" s="5" t="n">
        <v>819302</v>
      </c>
      <c r="E225" s="5" t="n">
        <v>731520</v>
      </c>
      <c r="F225" s="5" t="inlineStr"/>
      <c r="G225" s="5" t="inlineStr">
        <is>
          <t>JABRA</t>
        </is>
      </c>
      <c r="H225" s="5">
        <f>HYPERLINK("https://itrix.uz/product/1184", "🔗 Купить продукт")</f>
        <v/>
      </c>
      <c r="I225" t="inlineStr">
        <is>
          <t>2-1184-914</t>
        </is>
      </c>
    </row>
    <row r="226" ht="30" customHeight="1">
      <c r="A226" s="4" t="inlineStr">
        <is>
          <t>Аксессуары</t>
        </is>
      </c>
      <c r="B226" s="4" t="inlineStr">
        <is>
          <t xml:space="preserve">Гарнитура Jabra EVOLVE 20 MS Stereo USB-C </t>
        </is>
      </c>
      <c r="C226" s="5" t="inlineStr"/>
      <c r="D226" s="5" t="n">
        <v>938784</v>
      </c>
      <c r="E226" s="5" t="n">
        <v>838200</v>
      </c>
      <c r="F226" s="5" t="inlineStr"/>
      <c r="G226" s="5" t="inlineStr">
        <is>
          <t>JABRA</t>
        </is>
      </c>
      <c r="H226" s="5">
        <f>HYPERLINK("https://itrix.uz/product/1186", "🔗 Купить продукт")</f>
        <v/>
      </c>
      <c r="I226" t="inlineStr">
        <is>
          <t>2-1186-916</t>
        </is>
      </c>
    </row>
    <row r="227" ht="30" customHeight="1">
      <c r="A227" s="4" t="inlineStr">
        <is>
          <t>Блоки питания</t>
        </is>
      </c>
      <c r="B227" s="4" t="inlineStr">
        <is>
          <t>Источник бесперебойного питания APC Easy-UPS BV650I-GR</t>
        </is>
      </c>
      <c r="C227" s="5" t="inlineStr"/>
      <c r="D227" s="5" t="n">
        <v>887578</v>
      </c>
      <c r="E227" s="5" t="n">
        <v>792480</v>
      </c>
      <c r="F227" s="5" t="inlineStr"/>
      <c r="G227" s="5" t="inlineStr">
        <is>
          <t>APC</t>
        </is>
      </c>
      <c r="H227" s="5">
        <f>HYPERLINK("https://itrix.uz/product/1165", "🔗 Купить продукт")</f>
        <v/>
      </c>
      <c r="I227" t="inlineStr">
        <is>
          <t>2-1165-895</t>
        </is>
      </c>
    </row>
    <row r="228" ht="30" customHeight="1">
      <c r="A228" s="4" t="inlineStr">
        <is>
          <t>Аксессуары</t>
        </is>
      </c>
      <c r="B228" s="4" t="inlineStr">
        <is>
          <t>Гарнитура Jabra Evolve 20 USB C/A MS Stereo</t>
        </is>
      </c>
      <c r="C228" s="5" t="inlineStr"/>
      <c r="D228" s="5" t="n">
        <v>989990</v>
      </c>
      <c r="E228" s="5" t="n">
        <v>883920</v>
      </c>
      <c r="F228" s="5" t="inlineStr"/>
      <c r="G228" s="5" t="inlineStr">
        <is>
          <t>JABRA</t>
        </is>
      </c>
      <c r="H228" s="5">
        <f>HYPERLINK("https://itrix.uz/product/1187", "🔗 Купить продукт")</f>
        <v/>
      </c>
      <c r="I228" t="inlineStr">
        <is>
          <t>2-1187-917</t>
        </is>
      </c>
    </row>
    <row r="229" ht="30" customHeight="1">
      <c r="A229" s="4" t="inlineStr">
        <is>
          <t>Аксессуары</t>
        </is>
      </c>
      <c r="B229" s="4" t="inlineStr">
        <is>
          <t xml:space="preserve">Гарнитура Jabra Evolve 20 USB C/A UC Stereo  </t>
        </is>
      </c>
      <c r="C229" s="5" t="inlineStr"/>
      <c r="D229" s="5" t="n">
        <v>989990</v>
      </c>
      <c r="E229" s="5" t="n">
        <v>883920</v>
      </c>
      <c r="F229" s="5" t="inlineStr"/>
      <c r="G229" s="5" t="inlineStr">
        <is>
          <t>JABRA</t>
        </is>
      </c>
      <c r="H229" s="5">
        <f>HYPERLINK("https://itrix.uz/product/1188", "🔗 Купить продукт")</f>
        <v/>
      </c>
      <c r="I229" t="inlineStr">
        <is>
          <t>2-1188-918</t>
        </is>
      </c>
    </row>
    <row r="230" ht="30" customHeight="1">
      <c r="A230" s="4" t="inlineStr">
        <is>
          <t>Аксессуары</t>
        </is>
      </c>
      <c r="B230" s="4" t="inlineStr">
        <is>
          <t>Гарнитура Jabra Evolve2 55 USB-A UC Stereo</t>
        </is>
      </c>
      <c r="C230" s="5" t="inlineStr"/>
      <c r="D230" s="5" t="n">
        <v>3908755</v>
      </c>
      <c r="E230" s="5" t="n">
        <v>3489960</v>
      </c>
      <c r="F230" s="5" t="inlineStr"/>
      <c r="G230" s="5" t="inlineStr">
        <is>
          <t>JABRA</t>
        </is>
      </c>
      <c r="H230" s="5">
        <f>HYPERLINK("https://itrix.uz/product/1191", "🔗 Купить продукт")</f>
        <v/>
      </c>
      <c r="I230" t="inlineStr">
        <is>
          <t>2-1191-921</t>
        </is>
      </c>
    </row>
    <row r="231" ht="30" customHeight="1">
      <c r="A231" s="4" t="inlineStr">
        <is>
          <t>Аксессуары</t>
        </is>
      </c>
      <c r="B231" s="4" t="inlineStr">
        <is>
          <t>Гарнитура Jabra Evolve2 65 Flex Link380a MS Stereo</t>
        </is>
      </c>
      <c r="C231" s="5" t="inlineStr"/>
      <c r="D231" s="5" t="n">
        <v>5103571</v>
      </c>
      <c r="E231" s="5" t="n">
        <v>4556760</v>
      </c>
      <c r="F231" s="5" t="inlineStr"/>
      <c r="G231" s="5" t="inlineStr">
        <is>
          <t>JABRA</t>
        </is>
      </c>
      <c r="H231" s="5">
        <f>HYPERLINK("https://itrix.uz/product/1193", "🔗 Купить продукт")</f>
        <v/>
      </c>
      <c r="I231" t="inlineStr">
        <is>
          <t>2-1193-923</t>
        </is>
      </c>
    </row>
    <row r="232" ht="30" customHeight="1">
      <c r="A232" s="4" t="inlineStr">
        <is>
          <t>Аксессуары</t>
        </is>
      </c>
      <c r="B232" s="4" t="inlineStr">
        <is>
          <t>Гарнитура Jabra Evolve2 55 Link380c MS Stereo</t>
        </is>
      </c>
      <c r="C232" s="5" t="inlineStr"/>
      <c r="D232" s="5" t="n">
        <v>3908755</v>
      </c>
      <c r="E232" s="5" t="n">
        <v>3489960</v>
      </c>
      <c r="F232" s="5" t="inlineStr"/>
      <c r="G232" s="5" t="inlineStr">
        <is>
          <t>JABRA</t>
        </is>
      </c>
      <c r="H232" s="5">
        <f>HYPERLINK("https://itrix.uz/product/1192", "🔗 Купить продукт")</f>
        <v/>
      </c>
      <c r="I232" t="inlineStr">
        <is>
          <t>2-1192-922</t>
        </is>
      </c>
    </row>
    <row r="233" ht="30" customHeight="1">
      <c r="A233" s="4" t="inlineStr">
        <is>
          <t>Аксессуары</t>
        </is>
      </c>
      <c r="B233" s="4" t="inlineStr">
        <is>
          <t xml:space="preserve">Гарнитура Jabra Evolve2 65 Link380a MS Stereo Black </t>
        </is>
      </c>
      <c r="C233" s="5" t="inlineStr"/>
      <c r="D233" s="5" t="n">
        <v>4318406</v>
      </c>
      <c r="E233" s="5" t="n">
        <v>3855720</v>
      </c>
      <c r="F233" s="5" t="inlineStr"/>
      <c r="G233" s="5" t="inlineStr">
        <is>
          <t>JABRA</t>
        </is>
      </c>
      <c r="H233" s="5">
        <f>HYPERLINK("https://itrix.uz/product/1195", "🔗 Купить продукт")</f>
        <v/>
      </c>
      <c r="I233" t="inlineStr">
        <is>
          <t>2-1195-925</t>
        </is>
      </c>
    </row>
    <row r="234" ht="30" customHeight="1">
      <c r="A234" s="4" t="inlineStr">
        <is>
          <t>Аксессуары</t>
        </is>
      </c>
      <c r="B234" s="4" t="inlineStr">
        <is>
          <t xml:space="preserve">Гарнитура Jabra Evolve2 40 SE USB-A UC Stereo </t>
        </is>
      </c>
      <c r="C234" s="5" t="inlineStr"/>
      <c r="D234" s="5" t="n">
        <v>2457907</v>
      </c>
      <c r="E234" s="5" t="n">
        <v>2194560</v>
      </c>
      <c r="F234" s="5" t="inlineStr"/>
      <c r="G234" s="5" t="inlineStr">
        <is>
          <t>JABRA</t>
        </is>
      </c>
      <c r="H234" s="5">
        <f>HYPERLINK("https://itrix.uz/product/1189", "🔗 Купить продукт")</f>
        <v/>
      </c>
      <c r="I234" t="inlineStr">
        <is>
          <t>2-1189-919</t>
        </is>
      </c>
    </row>
    <row r="235" ht="30" customHeight="1">
      <c r="A235" s="4" t="inlineStr">
        <is>
          <t>Аксессуары</t>
        </is>
      </c>
      <c r="B235" s="4" t="inlineStr">
        <is>
          <t>Крепление в стойку Ubiquiti UACC-Rack-Panel-Blank-1U</t>
        </is>
      </c>
      <c r="C235" s="5" t="inlineStr"/>
      <c r="D235" s="5" t="n">
        <v>502534</v>
      </c>
      <c r="E235" s="5" t="n">
        <v>448691</v>
      </c>
      <c r="F235" s="5" t="n">
        <v>414274</v>
      </c>
      <c r="G235" s="5" t="inlineStr">
        <is>
          <t>UniFi UBIQUITI</t>
        </is>
      </c>
      <c r="H235" s="5">
        <f>HYPERLINK("https://itrix.uz/product/1390", "🔗 Купить продукт")</f>
        <v/>
      </c>
      <c r="I235" t="inlineStr">
        <is>
          <t>2-1390-1090</t>
        </is>
      </c>
    </row>
    <row r="236" ht="30" customHeight="1">
      <c r="A236" s="4" t="inlineStr">
        <is>
          <t>Аксессуары</t>
        </is>
      </c>
      <c r="B236" s="4" t="inlineStr">
        <is>
          <t>USB кабель Jabra PanaCast USB Cable USB 3.0 2m USB-C to USB-A</t>
        </is>
      </c>
      <c r="C236" s="5" t="inlineStr"/>
      <c r="D236" s="5" t="n">
        <v>443789</v>
      </c>
      <c r="E236" s="5" t="n">
        <v>396240</v>
      </c>
      <c r="F236" s="5" t="inlineStr"/>
      <c r="G236" s="5" t="inlineStr">
        <is>
          <t>JABRA</t>
        </is>
      </c>
      <c r="H236" s="5">
        <f>HYPERLINK("https://itrix.uz/product/1205", "🔗 Купить продукт")</f>
        <v/>
      </c>
      <c r="I236" t="inlineStr">
        <is>
          <t>2-1205-935</t>
        </is>
      </c>
    </row>
    <row r="237" ht="30" customHeight="1">
      <c r="A237" s="4" t="inlineStr">
        <is>
          <t>Блоки питания</t>
        </is>
      </c>
      <c r="B237" s="4" t="inlineStr">
        <is>
          <t>Источник бесперебойного питания APC Back-UPS BX950MI-GR</t>
        </is>
      </c>
      <c r="C237" s="5" t="inlineStr"/>
      <c r="D237" s="5" t="n">
        <v>2969971</v>
      </c>
      <c r="E237" s="5" t="n">
        <v>2651760</v>
      </c>
      <c r="F237" s="5" t="inlineStr"/>
      <c r="G237" s="5" t="inlineStr">
        <is>
          <t>APC</t>
        </is>
      </c>
      <c r="H237" s="5">
        <f>HYPERLINK("https://itrix.uz/product/1163", "🔗 Купить продукт")</f>
        <v/>
      </c>
      <c r="I237" t="inlineStr">
        <is>
          <t>2-1163-942</t>
        </is>
      </c>
    </row>
    <row r="238" ht="30" customHeight="1">
      <c r="A238" s="4" t="inlineStr">
        <is>
          <t>Аксессуары</t>
        </is>
      </c>
      <c r="B238" s="4" t="inlineStr">
        <is>
          <t xml:space="preserve">Сетевой фильтр APC Strip PZ42IZ-GR </t>
        </is>
      </c>
      <c r="C238" s="5" t="inlineStr"/>
      <c r="D238" s="5" t="n">
        <v>563270</v>
      </c>
      <c r="E238" s="5" t="n">
        <v>502920</v>
      </c>
      <c r="F238" s="5" t="inlineStr"/>
      <c r="G238" s="5" t="inlineStr">
        <is>
          <t>APC</t>
        </is>
      </c>
      <c r="H238" s="5">
        <f>HYPERLINK("https://itrix.uz/product/1171", "🔗 Купить продукт")</f>
        <v/>
      </c>
      <c r="I238" t="inlineStr">
        <is>
          <t>2-1171-901</t>
        </is>
      </c>
    </row>
    <row r="239" ht="30" customHeight="1">
      <c r="A239" s="4" t="inlineStr">
        <is>
          <t>Аксессуары</t>
        </is>
      </c>
      <c r="B239" s="4" t="inlineStr">
        <is>
          <t>Гарнитура Jabra BIZ 2300 Duo</t>
        </is>
      </c>
      <c r="C239" s="5" t="inlineStr"/>
      <c r="D239" s="5" t="n">
        <v>2218944</v>
      </c>
      <c r="E239" s="5" t="n">
        <v>1981200</v>
      </c>
      <c r="F239" s="5" t="inlineStr"/>
      <c r="G239" s="5" t="inlineStr">
        <is>
          <t>JABRA</t>
        </is>
      </c>
      <c r="H239" s="5">
        <f>HYPERLINK("https://itrix.uz/product/1182", "🔗 Купить продукт")</f>
        <v/>
      </c>
      <c r="I239" t="inlineStr">
        <is>
          <t>2-1182-912</t>
        </is>
      </c>
    </row>
    <row r="240" ht="30" customHeight="1">
      <c r="A240" s="4" t="inlineStr">
        <is>
          <t>Аксессуары</t>
        </is>
      </c>
      <c r="B240" s="4" t="inlineStr">
        <is>
          <t>Гарнитура Jabra EVOLVE 10 Stereo</t>
        </is>
      </c>
      <c r="C240" s="5" t="inlineStr"/>
      <c r="D240" s="5" t="n">
        <v>682752</v>
      </c>
      <c r="E240" s="5" t="n">
        <v>609600</v>
      </c>
      <c r="F240" s="5" t="inlineStr"/>
      <c r="G240" s="5" t="inlineStr">
        <is>
          <t>JABRA</t>
        </is>
      </c>
      <c r="H240" s="5">
        <f>HYPERLINK("https://itrix.uz/product/1183", "🔗 Купить продукт")</f>
        <v/>
      </c>
      <c r="I240" t="inlineStr">
        <is>
          <t>2-1183-913</t>
        </is>
      </c>
    </row>
    <row r="241" ht="30" customHeight="1">
      <c r="A241" s="4" t="inlineStr">
        <is>
          <t>Аксессуары</t>
        </is>
      </c>
      <c r="B241" s="4" t="inlineStr">
        <is>
          <t>Гарнитура Jabra EVOLVE 20 MS Stereo</t>
        </is>
      </c>
      <c r="C241" s="5" t="inlineStr"/>
      <c r="D241" s="5" t="n">
        <v>938784</v>
      </c>
      <c r="E241" s="5" t="n">
        <v>838200</v>
      </c>
      <c r="F241" s="5" t="inlineStr"/>
      <c r="G241" s="5" t="inlineStr">
        <is>
          <t>JABRA</t>
        </is>
      </c>
      <c r="H241" s="5">
        <f>HYPERLINK("https://itrix.uz/product/1185", "🔗 Купить продукт")</f>
        <v/>
      </c>
      <c r="I241" t="inlineStr">
        <is>
          <t>2-1185-915</t>
        </is>
      </c>
    </row>
    <row r="242" ht="30" customHeight="1">
      <c r="A242" s="4" t="inlineStr">
        <is>
          <t>Аксессуары</t>
        </is>
      </c>
      <c r="B242" s="4" t="inlineStr">
        <is>
          <t xml:space="preserve">Настольное крепление Jabra PanaCast Table Stand </t>
        </is>
      </c>
      <c r="C242" s="5" t="inlineStr"/>
      <c r="D242" s="5" t="n">
        <v>1109472</v>
      </c>
      <c r="E242" s="5" t="n">
        <v>990600</v>
      </c>
      <c r="F242" s="5" t="inlineStr"/>
      <c r="G242" s="5" t="inlineStr">
        <is>
          <t>JABRA</t>
        </is>
      </c>
      <c r="H242" s="5">
        <f>HYPERLINK("https://itrix.uz/product/1203", "🔗 Купить продукт")</f>
        <v/>
      </c>
      <c r="I242" t="inlineStr">
        <is>
          <t>2-1203-933</t>
        </is>
      </c>
    </row>
    <row r="243" ht="30" customHeight="1">
      <c r="A243" s="4" t="inlineStr">
        <is>
          <t>Аксессуары</t>
        </is>
      </c>
      <c r="B243" s="4" t="inlineStr">
        <is>
          <t>USB кабель Jabra PanaCast USB Cable USB 2.0 5m USB-C to USB-A</t>
        </is>
      </c>
      <c r="C243" s="5" t="inlineStr"/>
      <c r="D243" s="5" t="n">
        <v>785165</v>
      </c>
      <c r="E243" s="5" t="n">
        <v>701040</v>
      </c>
      <c r="F243" s="5" t="inlineStr"/>
      <c r="G243" s="5" t="inlineStr">
        <is>
          <t>JABRA</t>
        </is>
      </c>
      <c r="H243" s="5">
        <f>HYPERLINK("https://itrix.uz/product/1204", "🔗 Купить продукт")</f>
        <v/>
      </c>
      <c r="I243" t="inlineStr">
        <is>
          <t>2-1204-934</t>
        </is>
      </c>
    </row>
    <row r="244" ht="30" customHeight="1">
      <c r="A244" s="4" t="inlineStr">
        <is>
          <t>Комплектующие</t>
        </is>
      </c>
      <c r="B244" s="4" t="inlineStr">
        <is>
          <t xml:space="preserve">Настенное крепление Jabra PanaCast Wall Mount </t>
        </is>
      </c>
      <c r="C244" s="5" t="inlineStr"/>
      <c r="D244" s="5" t="n">
        <v>785165</v>
      </c>
      <c r="E244" s="5" t="n">
        <v>701040</v>
      </c>
      <c r="F244" s="5" t="inlineStr"/>
      <c r="G244" s="5" t="inlineStr">
        <is>
          <t>JABRA</t>
        </is>
      </c>
      <c r="H244" s="5">
        <f>HYPERLINK("https://itrix.uz/product/1206", "🔗 Купить продукт")</f>
        <v/>
      </c>
      <c r="I244" t="inlineStr">
        <is>
          <t>2-1206-936</t>
        </is>
      </c>
    </row>
    <row r="245" ht="30" customHeight="1">
      <c r="A245" s="4" t="inlineStr">
        <is>
          <t>Блоки питания</t>
        </is>
      </c>
      <c r="B245" s="4" t="inlineStr">
        <is>
          <t>Блок питания Grandstream POWER SUPPLY 5V-0.6A</t>
        </is>
      </c>
      <c r="C245" s="5" t="inlineStr"/>
      <c r="D245" s="5" t="n">
        <v>119482</v>
      </c>
      <c r="E245" s="5" t="n">
        <v>106680</v>
      </c>
      <c r="F245" s="5" t="inlineStr"/>
      <c r="G245" s="5" t="inlineStr">
        <is>
          <t>Grandstream</t>
        </is>
      </c>
      <c r="H245" s="5">
        <f>HYPERLINK("https://itrix.uz/product/911", "🔗 Купить продукт")</f>
        <v/>
      </c>
      <c r="I245" t="inlineStr">
        <is>
          <t>2-911-801</t>
        </is>
      </c>
    </row>
    <row r="246" ht="30" customHeight="1">
      <c r="A246" s="4" t="inlineStr">
        <is>
          <t>Аксессуары</t>
        </is>
      </c>
      <c r="B246" s="4" t="inlineStr">
        <is>
          <t xml:space="preserve">Крепление для экрана Jabra PanaCast 50 Screen Mount VESA </t>
        </is>
      </c>
      <c r="C246" s="5" t="inlineStr"/>
      <c r="D246" s="5" t="n">
        <v>1758086</v>
      </c>
      <c r="E246" s="5" t="n">
        <v>1569720</v>
      </c>
      <c r="F246" s="5" t="inlineStr"/>
      <c r="G246" s="5" t="inlineStr">
        <is>
          <t>JABRA</t>
        </is>
      </c>
      <c r="H246" s="5">
        <f>HYPERLINK("https://itrix.uz/product/1200", "🔗 Купить продукт")</f>
        <v/>
      </c>
      <c r="I246" t="inlineStr">
        <is>
          <t>2-1200-930</t>
        </is>
      </c>
    </row>
    <row r="247">
      <c r="A247" s="4" t="inlineStr">
        <is>
          <t>Аксессуары</t>
        </is>
      </c>
      <c r="B247" s="4" t="inlineStr">
        <is>
          <t>Крепление в стойку Ubiquiti UACC-Rack-Panel-Brush-1U  (щеточная панель 1U для кабельного менеджмента)</t>
        </is>
      </c>
      <c r="C247" s="5" t="inlineStr"/>
      <c r="D247" s="5" t="n">
        <v>820014</v>
      </c>
      <c r="E247" s="5" t="n">
        <v>732155</v>
      </c>
      <c r="F247" s="5" t="n">
        <v>675894</v>
      </c>
      <c r="G247" s="5" t="inlineStr">
        <is>
          <t>UniFi UBIQUITI</t>
        </is>
      </c>
      <c r="H247" s="5">
        <f>HYPERLINK("https://itrix.uz/product/1391", "🔗 Купить продукт")</f>
        <v/>
      </c>
      <c r="I247" t="inlineStr">
        <is>
          <t>2-1391-1091</t>
        </is>
      </c>
    </row>
    <row r="248" ht="30" customHeight="1">
      <c r="A248" s="4" t="inlineStr">
        <is>
          <t>Аксессуары</t>
        </is>
      </c>
      <c r="B248" s="4" t="inlineStr">
        <is>
          <t>Шнур переходник Jabra GN 1200 CC (88011-99) для гарнитур</t>
        </is>
      </c>
      <c r="C248" s="5" t="inlineStr"/>
      <c r="D248" s="5" t="n">
        <v>597408</v>
      </c>
      <c r="E248" s="5" t="n">
        <v>533400</v>
      </c>
      <c r="F248" s="5" t="inlineStr"/>
      <c r="G248" s="5" t="inlineStr">
        <is>
          <t>JABRA</t>
        </is>
      </c>
      <c r="H248" s="5">
        <f>HYPERLINK("https://itrix.uz/product/1235", "🔗 Купить продукт")</f>
        <v/>
      </c>
      <c r="I248" t="inlineStr">
        <is>
          <t>2-1235-946</t>
        </is>
      </c>
    </row>
    <row r="249" ht="30" customHeight="1">
      <c r="A249" s="4" t="inlineStr">
        <is>
          <t>Комплектующие</t>
        </is>
      </c>
      <c r="B249" s="4" t="inlineStr">
        <is>
          <t>Настенное крепление Grandstream GRP_WM_A для телефонов серии GRP260x</t>
        </is>
      </c>
      <c r="C249" s="5" t="inlineStr"/>
      <c r="D249" s="5" t="n">
        <v>102413</v>
      </c>
      <c r="E249" s="5" t="n">
        <v>91440</v>
      </c>
      <c r="F249" s="5" t="inlineStr"/>
      <c r="G249" s="5" t="inlineStr">
        <is>
          <t>Grandstream</t>
        </is>
      </c>
      <c r="H249" s="5">
        <f>HYPERLINK("https://itrix.uz/product/1237", "🔗 Купить продукт")</f>
        <v/>
      </c>
      <c r="I249" t="inlineStr">
        <is>
          <t>2-1237-948</t>
        </is>
      </c>
    </row>
    <row r="250" ht="30" customHeight="1">
      <c r="A250" s="4" t="inlineStr">
        <is>
          <t>Комплектующие</t>
        </is>
      </c>
      <c r="B250" s="4" t="inlineStr">
        <is>
          <t>Настенное крепление Grandstream GRP_WM_S для телефонов серий GRP2612 и GRP2613</t>
        </is>
      </c>
      <c r="C250" s="5" t="inlineStr"/>
      <c r="D250" s="5" t="n">
        <v>102413</v>
      </c>
      <c r="E250" s="5" t="n">
        <v>91440</v>
      </c>
      <c r="F250" s="5" t="inlineStr"/>
      <c r="G250" s="5" t="inlineStr">
        <is>
          <t>Grandstream</t>
        </is>
      </c>
      <c r="H250" s="5">
        <f>HYPERLINK("https://itrix.uz/product/1238", "🔗 Купить продукт")</f>
        <v/>
      </c>
      <c r="I250" t="inlineStr">
        <is>
          <t>2-1238-949</t>
        </is>
      </c>
    </row>
    <row r="251" ht="30" customHeight="1">
      <c r="A251" s="4" t="inlineStr">
        <is>
          <t>Аксессуары</t>
        </is>
      </c>
      <c r="B251" s="4" t="inlineStr">
        <is>
          <t>Гарнитура Cisco CS-MIC-TABLE-J= — (настольный микрофон для конференций Cisco)</t>
        </is>
      </c>
      <c r="C251" s="5" t="inlineStr"/>
      <c r="D251" s="5" t="n">
        <v>11507216</v>
      </c>
      <c r="E251" s="5" t="n">
        <v>10274300</v>
      </c>
      <c r="F251" s="5" t="inlineStr"/>
      <c r="G251" s="5" t="inlineStr">
        <is>
          <t>Cisco</t>
        </is>
      </c>
      <c r="H251" s="5">
        <f>HYPERLINK("https://itrix.uz/product/1258", "🔗 Купить продукт")</f>
        <v/>
      </c>
      <c r="I251" t="inlineStr">
        <is>
          <t>2-1258-969</t>
        </is>
      </c>
    </row>
    <row r="252" ht="30" customHeight="1">
      <c r="A252" s="4" t="inlineStr">
        <is>
          <t>Комплектующие</t>
        </is>
      </c>
      <c r="B252" s="4" t="inlineStr">
        <is>
          <t>Кабель Cisco CAB-USBC-4M-GR=</t>
        </is>
      </c>
      <c r="C252" s="5" t="inlineStr"/>
      <c r="D252" s="5" t="n">
        <v>1223264</v>
      </c>
      <c r="E252" s="5" t="n">
        <v>1092200</v>
      </c>
      <c r="F252" s="5" t="inlineStr"/>
      <c r="G252" s="5" t="inlineStr">
        <is>
          <t>Cisco</t>
        </is>
      </c>
      <c r="H252" s="5">
        <f>HYPERLINK("https://itrix.uz/product/1261", "🔗 Купить продукт")</f>
        <v/>
      </c>
      <c r="I252" t="inlineStr">
        <is>
          <t>2-1261-972</t>
        </is>
      </c>
    </row>
    <row r="253" ht="30" customHeight="1">
      <c r="A253" s="4" t="inlineStr">
        <is>
          <t>Блоки питания</t>
        </is>
      </c>
      <c r="B253" s="4" t="inlineStr">
        <is>
          <t>ИБП APC E3SUPS40KHB (для внутренних батарей)</t>
        </is>
      </c>
      <c r="C253" s="5" t="inlineStr"/>
      <c r="D253" s="5" t="n">
        <v>155923488</v>
      </c>
      <c r="E253" s="5" t="n">
        <v>139217400</v>
      </c>
      <c r="F253" s="5" t="inlineStr"/>
      <c r="G253" s="5" t="inlineStr">
        <is>
          <t>APC</t>
        </is>
      </c>
      <c r="H253" s="5">
        <f>HYPERLINK("https://itrix.uz/product/1262", "🔗 Купить продукт")</f>
        <v/>
      </c>
      <c r="I253" t="inlineStr">
        <is>
          <t>2-1262-973</t>
        </is>
      </c>
    </row>
    <row r="254" ht="30" customHeight="1">
      <c r="A254" s="4" t="inlineStr">
        <is>
          <t>Аксессуары</t>
        </is>
      </c>
      <c r="B254" s="4" t="inlineStr">
        <is>
          <t>Настенное крепление Jabra PanaCast 50 Wall Mount Black</t>
        </is>
      </c>
      <c r="C254" s="5" t="inlineStr"/>
      <c r="D254" s="5" t="n">
        <v>802234</v>
      </c>
      <c r="E254" s="5" t="n">
        <v>716280</v>
      </c>
      <c r="F254" s="5" t="inlineStr"/>
      <c r="G254" s="5" t="inlineStr">
        <is>
          <t>JABRA</t>
        </is>
      </c>
      <c r="H254" s="5">
        <f>HYPERLINK("https://itrix.uz/product/1201", "🔗 Купить продукт")</f>
        <v/>
      </c>
      <c r="I254" t="inlineStr">
        <is>
          <t>2-1201-931</t>
        </is>
      </c>
    </row>
    <row r="255" ht="30" customHeight="1">
      <c r="A255" s="4" t="inlineStr">
        <is>
          <t>Видео карты</t>
        </is>
      </c>
      <c r="B255" s="4" t="inlineStr">
        <is>
          <t>Видеокарта NVIDIA RTX PRO 5000 Blackwell 48GB</t>
        </is>
      </c>
      <c r="C255" s="5" t="inlineStr"/>
      <c r="D255" s="5" t="n">
        <v>131572000</v>
      </c>
      <c r="E255" s="5" t="n">
        <v>117475000</v>
      </c>
      <c r="F255" s="5" t="inlineStr"/>
      <c r="G255" s="5" t="inlineStr">
        <is>
          <t>Nvidia</t>
        </is>
      </c>
      <c r="H255" s="5">
        <f>HYPERLINK("https://itrix.uz/product/1442", "🔗 Купить продукт")</f>
        <v/>
      </c>
      <c r="I255" t="inlineStr">
        <is>
          <t>2-1442-1142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412576"/>
    <outlinePr summaryBelow="1" summaryRight="1"/>
    <pageSetUpPr/>
  </sheetPr>
  <dimension ref="A1:I287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Коммутаторы</t>
        </is>
      </c>
      <c r="B2" s="4" t="inlineStr">
        <is>
          <t>Управляемый коммутатор уровня 2+ SNR-S5110G-48TX</t>
        </is>
      </c>
      <c r="C2" s="5" t="inlineStr"/>
      <c r="D2" s="5" t="n">
        <v>6016752</v>
      </c>
      <c r="E2" s="5" t="n">
        <v>5372100</v>
      </c>
      <c r="F2" s="5" t="inlineStr"/>
      <c r="G2" s="5" t="inlineStr">
        <is>
          <t>SNR</t>
        </is>
      </c>
      <c r="H2" s="5">
        <f>HYPERLINK("https://itrix.uz/product/447", "🔗 Купить продукт")</f>
        <v/>
      </c>
      <c r="I2" t="inlineStr">
        <is>
          <t>4-447-431</t>
        </is>
      </c>
    </row>
    <row r="3" ht="30" customHeight="1">
      <c r="A3" s="4" t="inlineStr">
        <is>
          <t>Коммутаторы</t>
        </is>
      </c>
      <c r="B3" s="4" t="inlineStr">
        <is>
          <t>Коммутатор HPE Aruba IOn 1930 JL684B 24G 4SFP+ PoE 370W</t>
        </is>
      </c>
      <c r="C3" s="5" t="inlineStr"/>
      <c r="D3" s="5" t="n">
        <v>10881360</v>
      </c>
      <c r="E3" s="5" t="n">
        <v>9715500</v>
      </c>
      <c r="F3" s="5" t="inlineStr"/>
      <c r="G3" s="5" t="inlineStr">
        <is>
          <t>HPE</t>
        </is>
      </c>
      <c r="H3" s="5">
        <f>HYPERLINK("https://itrix.uz/product/172", "🔗 Купить продукт")</f>
        <v/>
      </c>
      <c r="I3" t="inlineStr">
        <is>
          <t>4-172-174</t>
        </is>
      </c>
    </row>
    <row r="4" ht="30" customHeight="1">
      <c r="A4" s="4" t="inlineStr">
        <is>
          <t>Коммутаторы</t>
        </is>
      </c>
      <c r="B4" s="4" t="inlineStr">
        <is>
          <t>Коммутатор Grandstream GWN7703</t>
        </is>
      </c>
      <c r="C4" s="5" t="inlineStr"/>
      <c r="D4" s="5" t="n">
        <v>1519123</v>
      </c>
      <c r="E4" s="5" t="n">
        <v>1356360</v>
      </c>
      <c r="F4" s="5" t="inlineStr"/>
      <c r="G4" s="5" t="inlineStr">
        <is>
          <t>Grandstream</t>
        </is>
      </c>
      <c r="H4" s="5">
        <f>HYPERLINK("https://itrix.uz/product/963", "🔗 Купить продукт")</f>
        <v/>
      </c>
      <c r="I4" t="inlineStr">
        <is>
          <t>4-963-852</t>
        </is>
      </c>
    </row>
    <row r="5" ht="30" customHeight="1">
      <c r="A5" s="4" t="inlineStr">
        <is>
          <t>Патч-корды медные</t>
        </is>
      </c>
      <c r="B5" s="4" t="inlineStr">
        <is>
          <t>Патч-корд Cat 5e, FTP, RJ45, 26AWG, 7/0.16 Cu, 2.00 m, LSZH, Grey</t>
        </is>
      </c>
      <c r="C5" s="5" t="inlineStr"/>
      <c r="D5" s="5" t="n">
        <v>142240</v>
      </c>
      <c r="E5" s="5" t="n">
        <v>127000</v>
      </c>
      <c r="F5" s="5" t="inlineStr"/>
      <c r="G5" s="5" t="inlineStr">
        <is>
          <t>Intel</t>
        </is>
      </c>
      <c r="H5" s="5">
        <f>HYPERLINK("https://itrix.uz/product/257", "🔗 Купить продукт")</f>
        <v/>
      </c>
      <c r="I5" t="inlineStr">
        <is>
          <t>4-257-259</t>
        </is>
      </c>
    </row>
    <row r="6" ht="30" customHeight="1">
      <c r="A6" s="4" t="inlineStr">
        <is>
          <t>Коммутаторы</t>
        </is>
      </c>
      <c r="B6" s="4" t="inlineStr">
        <is>
          <t>Коммутатор HPE Aruba IOn 1960 JL808A 48G 2XGT 2SFP+</t>
        </is>
      </c>
      <c r="C6" s="5" t="inlineStr"/>
      <c r="D6" s="5" t="n">
        <v>18519648</v>
      </c>
      <c r="E6" s="5" t="n">
        <v>16535400</v>
      </c>
      <c r="F6" s="5" t="inlineStr"/>
      <c r="G6" s="5" t="inlineStr">
        <is>
          <t>HPE</t>
        </is>
      </c>
      <c r="H6" s="5">
        <f>HYPERLINK("https://itrix.uz/product/168", "🔗 Купить продукт")</f>
        <v/>
      </c>
      <c r="I6" t="inlineStr">
        <is>
          <t>4-168-170</t>
        </is>
      </c>
    </row>
    <row r="7" ht="30" customHeight="1">
      <c r="A7" s="4" t="inlineStr">
        <is>
          <t>Патч-корды медные</t>
        </is>
      </c>
      <c r="B7" s="4" t="inlineStr">
        <is>
          <t>Патч-корд Cat 5e, FTP, RJ45, 26AWG, 7/0.16 Cu, 3.00 m, LSZH, Grey</t>
        </is>
      </c>
      <c r="C7" s="5" t="inlineStr"/>
      <c r="D7" s="5" t="n">
        <v>142240</v>
      </c>
      <c r="E7" s="5" t="n">
        <v>127000</v>
      </c>
      <c r="F7" s="5" t="inlineStr"/>
      <c r="G7" s="5" t="inlineStr">
        <is>
          <t>Intel</t>
        </is>
      </c>
      <c r="H7" s="5">
        <f>HYPERLINK("https://itrix.uz/product/258", "🔗 Купить продукт")</f>
        <v/>
      </c>
      <c r="I7" t="inlineStr">
        <is>
          <t>4-258-375</t>
        </is>
      </c>
    </row>
    <row r="8" ht="30" customHeight="1">
      <c r="A8" s="4" t="inlineStr">
        <is>
          <t>Патч-корды медные</t>
        </is>
      </c>
      <c r="B8" s="4" t="inlineStr">
        <is>
          <t>Патч-корд Cat 6, FTP, RJ45, 26AWG, 7/0.16 Cu, 5.00 m, LSZH, Grey</t>
        </is>
      </c>
      <c r="C8" s="5" t="inlineStr"/>
      <c r="D8" s="5" t="n">
        <v>142240</v>
      </c>
      <c r="E8" s="5" t="n">
        <v>127000</v>
      </c>
      <c r="F8" s="5" t="inlineStr"/>
      <c r="G8" s="5" t="inlineStr">
        <is>
          <t>Intel</t>
        </is>
      </c>
      <c r="H8" s="5">
        <f>HYPERLINK("https://itrix.uz/product/263", "🔗 Купить продукт")</f>
        <v/>
      </c>
      <c r="I8" t="inlineStr">
        <is>
          <t>4-263-264</t>
        </is>
      </c>
    </row>
    <row r="9" ht="30" customHeight="1">
      <c r="A9" s="4" t="inlineStr">
        <is>
          <t>Сетевое оборудование</t>
        </is>
      </c>
      <c r="B9" s="4" t="inlineStr">
        <is>
          <t>Кабель Ubiquiti UACC-DAC-SFP10-3M</t>
        </is>
      </c>
      <c r="C9" s="5" t="inlineStr"/>
      <c r="D9" s="5" t="n">
        <v>449763</v>
      </c>
      <c r="E9" s="5" t="n">
        <v>401574</v>
      </c>
      <c r="F9" s="5" t="n">
        <v>370586</v>
      </c>
      <c r="G9" s="5" t="inlineStr">
        <is>
          <t>UniFi UBIQUITI</t>
        </is>
      </c>
      <c r="H9" s="5">
        <f>HYPERLINK("https://itrix.uz/product/1381", "🔗 Купить продукт")</f>
        <v/>
      </c>
      <c r="I9" t="inlineStr">
        <is>
          <t>4-1381-1081</t>
        </is>
      </c>
    </row>
    <row r="10" ht="30" customHeight="1">
      <c r="A10" s="4" t="inlineStr">
        <is>
          <t>Сетевые хранилища NAS и DSS</t>
        </is>
      </c>
      <c r="B10" s="4" t="inlineStr">
        <is>
          <t>Сетевое хранилище NAS Synology DS1522+</t>
        </is>
      </c>
      <c r="C10" s="5" t="inlineStr"/>
      <c r="D10" s="5" t="n">
        <v>14252448</v>
      </c>
      <c r="E10" s="5" t="n">
        <v>12725400</v>
      </c>
      <c r="F10" s="5" t="inlineStr"/>
      <c r="G10" s="5" t="inlineStr">
        <is>
          <t>Synology</t>
        </is>
      </c>
      <c r="H10" s="5">
        <f>HYPERLINK("https://itrix.uz/product/267", "🔗 Купить продукт")</f>
        <v/>
      </c>
      <c r="I10" t="inlineStr">
        <is>
          <t>4-267-269</t>
        </is>
      </c>
    </row>
    <row r="11" ht="30" customHeight="1">
      <c r="A11" s="4" t="inlineStr">
        <is>
          <t>Коммутаторы</t>
        </is>
      </c>
      <c r="B11" s="4" t="inlineStr">
        <is>
          <t>Управляемый  коммутатор Grandsteam GWN7710R</t>
        </is>
      </c>
      <c r="C11" s="5" t="inlineStr"/>
      <c r="D11" s="5" t="n">
        <v>2014118</v>
      </c>
      <c r="E11" s="5" t="n">
        <v>1798320</v>
      </c>
      <c r="F11" s="5" t="inlineStr"/>
      <c r="G11" s="5" t="inlineStr">
        <is>
          <t>Grandstream</t>
        </is>
      </c>
      <c r="H11" s="5">
        <f>HYPERLINK("https://itrix.uz/product/965", "🔗 Купить продукт")</f>
        <v/>
      </c>
      <c r="I11" t="inlineStr">
        <is>
          <t>4-965-854</t>
        </is>
      </c>
    </row>
    <row r="12" ht="30" customHeight="1">
      <c r="A12" s="4" t="inlineStr">
        <is>
          <t>Коммутаторы</t>
        </is>
      </c>
      <c r="B12" s="4" t="inlineStr">
        <is>
          <t>Коммутатор Ubiquiti EdgeSwitch-48-500W</t>
        </is>
      </c>
      <c r="C12" s="5" t="inlineStr"/>
      <c r="D12" s="5" t="n">
        <v>14178625</v>
      </c>
      <c r="E12" s="5" t="n">
        <v>12659487</v>
      </c>
      <c r="F12" s="5" t="n">
        <v>11685651</v>
      </c>
      <c r="G12" s="5" t="inlineStr">
        <is>
          <t>UniFi UBIQUITI</t>
        </is>
      </c>
      <c r="H12" s="5">
        <f>HYPERLINK("https://itrix.uz/product/1345", "🔗 Купить продукт")</f>
        <v/>
      </c>
      <c r="I12" t="inlineStr">
        <is>
          <t>4-1345-1045</t>
        </is>
      </c>
    </row>
    <row r="13" ht="30" customHeight="1">
      <c r="A13" s="4" t="inlineStr">
        <is>
          <t>Сетевые хранилища NAS и DSS</t>
        </is>
      </c>
      <c r="B13" s="4" t="inlineStr">
        <is>
          <t>Сетевое хранилище NAS Synology DS1819+</t>
        </is>
      </c>
      <c r="C13" s="5" t="inlineStr"/>
      <c r="D13" s="5" t="n">
        <v>19885152</v>
      </c>
      <c r="E13" s="5" t="n">
        <v>17754600</v>
      </c>
      <c r="F13" s="5" t="inlineStr"/>
      <c r="G13" s="5" t="inlineStr">
        <is>
          <t>Synology</t>
        </is>
      </c>
      <c r="H13" s="5">
        <f>HYPERLINK("https://itrix.uz/product/272", "🔗 Купить продукт")</f>
        <v/>
      </c>
      <c r="I13" t="inlineStr">
        <is>
          <t>4-272-274</t>
        </is>
      </c>
    </row>
    <row r="14" ht="30" customHeight="1">
      <c r="A14" s="4" t="inlineStr">
        <is>
          <t>Коммутаторы</t>
        </is>
      </c>
      <c r="B14" s="4" t="inlineStr">
        <is>
          <t>Управляемый коммутатор Ubiquiti UniFi Switch 48 USW-48-EU</t>
        </is>
      </c>
      <c r="C14" s="5" t="inlineStr"/>
      <c r="D14" s="5" t="n">
        <v>7766304</v>
      </c>
      <c r="E14" s="5" t="n">
        <v>6934200</v>
      </c>
      <c r="F14" s="5" t="inlineStr"/>
      <c r="G14" s="5" t="inlineStr">
        <is>
          <t>UniFi UBIQUITI</t>
        </is>
      </c>
      <c r="H14" s="5">
        <f>HYPERLINK("https://itrix.uz/product/189", "🔗 Купить продукт")</f>
        <v/>
      </c>
      <c r="I14" t="inlineStr">
        <is>
          <t>4-189-191</t>
        </is>
      </c>
    </row>
    <row r="15" ht="30" customHeight="1">
      <c r="A15" s="4" t="inlineStr">
        <is>
          <t>Коммутаторы</t>
        </is>
      </c>
      <c r="B15" s="4" t="inlineStr">
        <is>
          <t>Управляемый коммутатор уровня 3 SNR-S2995G-24TX-UPS</t>
        </is>
      </c>
      <c r="C15" s="5" t="inlineStr"/>
      <c r="D15" s="5" t="n">
        <v>11933936</v>
      </c>
      <c r="E15" s="5" t="n">
        <v>10655300</v>
      </c>
      <c r="F15" s="5" t="inlineStr"/>
      <c r="G15" s="5" t="inlineStr">
        <is>
          <t>SNR</t>
        </is>
      </c>
      <c r="H15" s="5">
        <f>HYPERLINK("https://itrix.uz/product/452", "🔗 Купить продукт")</f>
        <v/>
      </c>
      <c r="I15" t="inlineStr">
        <is>
          <t>4-452-436</t>
        </is>
      </c>
    </row>
    <row r="16" ht="30" customHeight="1">
      <c r="A16" s="4" t="inlineStr">
        <is>
          <t>Коммутаторы</t>
        </is>
      </c>
      <c r="B16" s="4" t="inlineStr">
        <is>
          <t>Управляемый коммутатор уровня 2 SNR-S2982G-8T</t>
        </is>
      </c>
      <c r="C16" s="5" t="inlineStr"/>
      <c r="D16" s="5" t="n">
        <v>2212970</v>
      </c>
      <c r="E16" s="5" t="n">
        <v>1975866</v>
      </c>
      <c r="F16" s="5" t="inlineStr"/>
      <c r="G16" s="5" t="inlineStr">
        <is>
          <t>SNR</t>
        </is>
      </c>
      <c r="H16" s="5">
        <f>HYPERLINK("https://itrix.uz/product/424", "🔗 Купить продукт")</f>
        <v/>
      </c>
      <c r="I16" t="inlineStr">
        <is>
          <t>4-424-408</t>
        </is>
      </c>
    </row>
    <row r="17" ht="30" customHeight="1">
      <c r="A17" s="4" t="inlineStr">
        <is>
          <t>Сетевые хранилища NAS и DSS</t>
        </is>
      </c>
      <c r="B17" s="4" t="inlineStr">
        <is>
          <t>Сетевое хранилище NAS Synology RS820RP+</t>
        </is>
      </c>
      <c r="C17" s="5" t="inlineStr"/>
      <c r="D17" s="5" t="n">
        <v>19927824</v>
      </c>
      <c r="E17" s="5" t="n">
        <v>17792700</v>
      </c>
      <c r="F17" s="5" t="inlineStr"/>
      <c r="G17" s="5" t="inlineStr">
        <is>
          <t>Synology</t>
        </is>
      </c>
      <c r="H17" s="5">
        <f>HYPERLINK("https://itrix.uz/product/280", "🔗 Купить продукт")</f>
        <v/>
      </c>
      <c r="I17" t="inlineStr">
        <is>
          <t>4-280-282</t>
        </is>
      </c>
    </row>
    <row r="18" ht="30" customHeight="1">
      <c r="A18" s="4" t="inlineStr">
        <is>
          <t>Коммутаторы</t>
        </is>
      </c>
      <c r="B18" s="4" t="inlineStr">
        <is>
          <t>Управляемый коммутатор уровня 2 SNR-S2982G-24TE</t>
        </is>
      </c>
      <c r="C18" s="5" t="inlineStr"/>
      <c r="D18" s="5" t="n">
        <v>3456432</v>
      </c>
      <c r="E18" s="5" t="n">
        <v>3086100</v>
      </c>
      <c r="F18" s="5" t="n">
        <v>2841625</v>
      </c>
      <c r="G18" s="5" t="inlineStr">
        <is>
          <t>SNR</t>
        </is>
      </c>
      <c r="H18" s="5">
        <f>HYPERLINK("https://itrix.uz/product/425", "🔗 Купить продукт")</f>
        <v/>
      </c>
      <c r="I18" t="inlineStr">
        <is>
          <t>4-425-409</t>
        </is>
      </c>
    </row>
    <row r="19" ht="30" customHeight="1">
      <c r="A19" s="4" t="inlineStr">
        <is>
          <t>Коммутаторы</t>
        </is>
      </c>
      <c r="B19" s="4" t="inlineStr">
        <is>
          <t>Управляемый коммутатор уровня 2 SNR-S2982G-24TE-UPS</t>
        </is>
      </c>
      <c r="C19" s="5" t="inlineStr"/>
      <c r="D19" s="5" t="n">
        <v>3940048</v>
      </c>
      <c r="E19" s="5" t="n">
        <v>3517900</v>
      </c>
      <c r="F19" s="5" t="inlineStr"/>
      <c r="G19" s="5" t="inlineStr">
        <is>
          <t>SNR</t>
        </is>
      </c>
      <c r="H19" s="5">
        <f>HYPERLINK("https://itrix.uz/product/428", "🔗 Купить продукт")</f>
        <v/>
      </c>
      <c r="I19" t="inlineStr">
        <is>
          <t>4-428-412</t>
        </is>
      </c>
    </row>
    <row r="20" ht="30" customHeight="1">
      <c r="A20" s="4" t="inlineStr">
        <is>
          <t>Шкафы телекоммуникационные</t>
        </is>
      </c>
      <c r="B20" s="4" t="inlineStr">
        <is>
          <t>Шкаф на 32 юнита 600x800x1610mm - 500кг</t>
        </is>
      </c>
      <c r="C20" s="5" t="inlineStr"/>
      <c r="D20" s="5" t="n">
        <v>6471920</v>
      </c>
      <c r="E20" s="5" t="n">
        <v>5778500</v>
      </c>
      <c r="F20" s="5" t="inlineStr"/>
      <c r="G20" s="5" t="inlineStr"/>
      <c r="H20" s="5">
        <f>HYPERLINK("https://itrix.uz/product/504", "🔗 Купить продукт")</f>
        <v/>
      </c>
      <c r="I20" t="inlineStr">
        <is>
          <t>4-504-486</t>
        </is>
      </c>
    </row>
    <row r="21" ht="30" customHeight="1">
      <c r="A21" s="4" t="inlineStr">
        <is>
          <t>Сетевые хранилища NAS и DSS</t>
        </is>
      </c>
      <c r="B21" s="4" t="inlineStr">
        <is>
          <t>Сетевое хранилище NAS Synology DS220J</t>
        </is>
      </c>
      <c r="C21" s="5" t="inlineStr"/>
      <c r="D21" s="5" t="n">
        <v>3556000</v>
      </c>
      <c r="E21" s="5" t="n">
        <v>3175000</v>
      </c>
      <c r="F21" s="5" t="inlineStr"/>
      <c r="G21" s="5" t="inlineStr">
        <is>
          <t>Synology</t>
        </is>
      </c>
      <c r="H21" s="5">
        <f>HYPERLINK("https://itrix.uz/product/274", "🔗 Купить продукт")</f>
        <v/>
      </c>
      <c r="I21" t="inlineStr">
        <is>
          <t>4-274-276</t>
        </is>
      </c>
    </row>
    <row r="22" ht="30" customHeight="1">
      <c r="A22" s="4" t="inlineStr">
        <is>
          <t>Сетевые хранилища NAS и DSS</t>
        </is>
      </c>
      <c r="B22" s="4" t="inlineStr">
        <is>
          <t>Сетевое хранилище NAS Synology DS420+</t>
        </is>
      </c>
      <c r="C22" s="5" t="inlineStr"/>
      <c r="D22" s="5" t="n">
        <v>11180064</v>
      </c>
      <c r="E22" s="5" t="n">
        <v>9982200</v>
      </c>
      <c r="F22" s="5" t="inlineStr"/>
      <c r="G22" s="5" t="inlineStr">
        <is>
          <t>Synology</t>
        </is>
      </c>
      <c r="H22" s="5">
        <f>HYPERLINK("https://itrix.uz/product/275", "🔗 Купить продукт")</f>
        <v/>
      </c>
      <c r="I22" t="inlineStr">
        <is>
          <t>4-275-277</t>
        </is>
      </c>
    </row>
    <row r="23" ht="30" customHeight="1">
      <c r="A23" s="4" t="inlineStr">
        <is>
          <t>Коммутаторы</t>
        </is>
      </c>
      <c r="B23" s="4" t="inlineStr">
        <is>
          <t>Управляемый коммутатор уровня 2 SNR-S2989G-24TX-2AC</t>
        </is>
      </c>
      <c r="C23" s="5" t="inlineStr"/>
      <c r="D23" s="5" t="n">
        <v>4949952</v>
      </c>
      <c r="E23" s="5" t="n">
        <v>4419600</v>
      </c>
      <c r="F23" s="5" t="inlineStr"/>
      <c r="G23" s="5" t="inlineStr">
        <is>
          <t>SNR</t>
        </is>
      </c>
      <c r="H23" s="5">
        <f>HYPERLINK("https://itrix.uz/product/434", "🔗 Купить продукт")</f>
        <v/>
      </c>
      <c r="I23" t="inlineStr">
        <is>
          <t>4-434-418</t>
        </is>
      </c>
    </row>
    <row r="24" ht="30" customHeight="1">
      <c r="A24" s="4" t="inlineStr">
        <is>
          <t>Коммутаторы</t>
        </is>
      </c>
      <c r="B24" s="4" t="inlineStr">
        <is>
          <t>Управляемый коммутатор уровня 2+ SNR-S5110G-24TX</t>
        </is>
      </c>
      <c r="C24" s="5" t="inlineStr"/>
      <c r="D24" s="5" t="n">
        <v>3570224</v>
      </c>
      <c r="E24" s="5" t="n">
        <v>3187700</v>
      </c>
      <c r="F24" s="5" t="inlineStr"/>
      <c r="G24" s="5" t="inlineStr">
        <is>
          <t>SNR</t>
        </is>
      </c>
      <c r="H24" s="5">
        <f>HYPERLINK("https://itrix.uz/product/438", "🔗 Купить продукт")</f>
        <v/>
      </c>
      <c r="I24" t="inlineStr">
        <is>
          <t>4-438-422</t>
        </is>
      </c>
    </row>
    <row r="25" ht="30" customHeight="1">
      <c r="A25" s="4" t="inlineStr">
        <is>
          <t>Сетевые хранилища NAS и DSS</t>
        </is>
      </c>
      <c r="B25" s="4" t="inlineStr">
        <is>
          <t>Сетевое хранилище NAS Synology DS423+</t>
        </is>
      </c>
      <c r="C25" s="5" t="inlineStr"/>
      <c r="D25" s="5" t="n">
        <v>9487408</v>
      </c>
      <c r="E25" s="5" t="n">
        <v>8470900</v>
      </c>
      <c r="F25" s="5" t="inlineStr"/>
      <c r="G25" s="5" t="inlineStr">
        <is>
          <t>Synology</t>
        </is>
      </c>
      <c r="H25" s="5">
        <f>HYPERLINK("https://itrix.uz/product/265", "🔗 Купить продукт")</f>
        <v/>
      </c>
      <c r="I25" t="inlineStr">
        <is>
          <t>4-265-267</t>
        </is>
      </c>
    </row>
    <row r="26" ht="30" customHeight="1">
      <c r="A26" s="4" t="inlineStr">
        <is>
          <t>Коммутаторы</t>
        </is>
      </c>
      <c r="B26" s="4" t="inlineStr">
        <is>
          <t>Управляемый коммутатор уровня 3 SNR-S4650X-48FQ</t>
        </is>
      </c>
      <c r="C26" s="5" t="inlineStr"/>
      <c r="D26" s="5" t="n">
        <v>175439100</v>
      </c>
      <c r="E26" s="5" t="n">
        <v>156642054</v>
      </c>
      <c r="F26" s="5" t="inlineStr"/>
      <c r="G26" s="5" t="inlineStr">
        <is>
          <t>SNR</t>
        </is>
      </c>
      <c r="H26" s="5">
        <f>HYPERLINK("https://itrix.uz/product/441", "🔗 Купить продукт")</f>
        <v/>
      </c>
      <c r="I26" t="inlineStr">
        <is>
          <t>4-441-425</t>
        </is>
      </c>
    </row>
    <row r="27" ht="30" customHeight="1">
      <c r="A27" s="4" t="inlineStr">
        <is>
          <t>Сетевые хранилища NAS и DSS</t>
        </is>
      </c>
      <c r="B27" s="4" t="inlineStr">
        <is>
          <t>Сетевое хранилище NAS Synology DS220+</t>
        </is>
      </c>
      <c r="C27" s="5" t="inlineStr"/>
      <c r="D27" s="5" t="n">
        <v>5163312</v>
      </c>
      <c r="E27" s="5" t="n">
        <v>4610100</v>
      </c>
      <c r="F27" s="5" t="inlineStr"/>
      <c r="G27" s="5" t="inlineStr">
        <is>
          <t>Synology</t>
        </is>
      </c>
      <c r="H27" s="5">
        <f>HYPERLINK("https://itrix.uz/product/264", "🔗 Купить продукт")</f>
        <v/>
      </c>
      <c r="I27" t="inlineStr">
        <is>
          <t>4-264-266</t>
        </is>
      </c>
    </row>
    <row r="28" ht="30" customHeight="1">
      <c r="A28" s="4" t="inlineStr">
        <is>
          <t>Коммутаторы</t>
        </is>
      </c>
      <c r="B28" s="4" t="inlineStr">
        <is>
          <t>Мультисервисный шлюз Ubiquiti UniFi Dream Machine Pro UDM-Pro</t>
        </is>
      </c>
      <c r="C28" s="5" t="inlineStr"/>
      <c r="D28" s="5" t="n">
        <v>7300895</v>
      </c>
      <c r="E28" s="5" t="n">
        <v>6518656</v>
      </c>
      <c r="F28" s="5" t="n">
        <v>6017260</v>
      </c>
      <c r="G28" s="5" t="inlineStr">
        <is>
          <t>UniFi UBIQUITI</t>
        </is>
      </c>
      <c r="H28" s="5">
        <f>HYPERLINK("https://itrix.uz/product/310", "🔗 Купить продукт")</f>
        <v/>
      </c>
      <c r="I28" t="inlineStr">
        <is>
          <t>4-310-312</t>
        </is>
      </c>
    </row>
    <row r="29" ht="30" customHeight="1">
      <c r="A29" s="4" t="inlineStr">
        <is>
          <t>Коммутаторы</t>
        </is>
      </c>
      <c r="B29" s="4" t="inlineStr">
        <is>
          <t>Коммутатор HPE Aruba IOn 1960 JL809A 48G 2XGT 2SFP+ PoE 600W</t>
        </is>
      </c>
      <c r="C29" s="5" t="inlineStr"/>
      <c r="D29" s="5" t="n">
        <v>33981136</v>
      </c>
      <c r="E29" s="5" t="n">
        <v>30340300</v>
      </c>
      <c r="F29" s="5" t="inlineStr"/>
      <c r="G29" s="5" t="inlineStr">
        <is>
          <t>HPE</t>
        </is>
      </c>
      <c r="H29" s="5">
        <f>HYPERLINK("https://itrix.uz/product/167", "🔗 Купить продукт")</f>
        <v/>
      </c>
      <c r="I29" t="inlineStr">
        <is>
          <t>4-167-169</t>
        </is>
      </c>
    </row>
    <row r="30" ht="30" customHeight="1">
      <c r="A30" s="4" t="inlineStr">
        <is>
          <t>Коммутаторы</t>
        </is>
      </c>
      <c r="B30" s="4" t="inlineStr">
        <is>
          <t>Управляемый коммутатор HPE Aruba 2930F JL255A 24G PoE+ 4SFP+ Switch</t>
        </is>
      </c>
      <c r="C30" s="5" t="inlineStr"/>
      <c r="D30" s="5" t="n">
        <v>25176480</v>
      </c>
      <c r="E30" s="5" t="n">
        <v>22479000</v>
      </c>
      <c r="F30" s="5" t="inlineStr"/>
      <c r="G30" s="5" t="inlineStr">
        <is>
          <t>HPE</t>
        </is>
      </c>
      <c r="H30" s="5">
        <f>HYPERLINK("https://itrix.uz/product/169", "🔗 Купить продукт")</f>
        <v/>
      </c>
      <c r="I30" t="inlineStr">
        <is>
          <t>4-169-171</t>
        </is>
      </c>
    </row>
    <row r="31" ht="30" customHeight="1">
      <c r="A31" s="4" t="inlineStr">
        <is>
          <t>Коммутаторы</t>
        </is>
      </c>
      <c r="B31" s="4" t="inlineStr">
        <is>
          <t>Коммутатор HPE Aruba IOn 1930 JL686B 48G 4SFP+ PoE 370W</t>
        </is>
      </c>
      <c r="C31" s="5" t="inlineStr"/>
      <c r="D31" s="5" t="n">
        <v>11649456</v>
      </c>
      <c r="E31" s="5" t="n">
        <v>10401300</v>
      </c>
      <c r="F31" s="5" t="inlineStr"/>
      <c r="G31" s="5" t="inlineStr">
        <is>
          <t>HPE</t>
        </is>
      </c>
      <c r="H31" s="5">
        <f>HYPERLINK("https://itrix.uz/product/173", "🔗 Купить продукт")</f>
        <v/>
      </c>
      <c r="I31" t="inlineStr">
        <is>
          <t>4-173-175</t>
        </is>
      </c>
    </row>
    <row r="32" ht="30" customHeight="1">
      <c r="A32" s="4" t="inlineStr">
        <is>
          <t>Коммутаторы</t>
        </is>
      </c>
      <c r="B32" s="4" t="inlineStr">
        <is>
          <t>Управляемый коммутатор Ubiquiti UniFi Switch 24 PoE US-24-250W</t>
        </is>
      </c>
      <c r="C32" s="5" t="inlineStr"/>
      <c r="D32" s="5" t="n">
        <v>11080496</v>
      </c>
      <c r="E32" s="5" t="n">
        <v>9893300</v>
      </c>
      <c r="F32" s="5" t="inlineStr"/>
      <c r="G32" s="5" t="inlineStr">
        <is>
          <t>UniFi UBIQUITI</t>
        </is>
      </c>
      <c r="H32" s="5">
        <f>HYPERLINK("https://itrix.uz/product/182", "🔗 Купить продукт")</f>
        <v/>
      </c>
      <c r="I32" t="inlineStr">
        <is>
          <t>4-182-184</t>
        </is>
      </c>
    </row>
    <row r="33" ht="30" customHeight="1">
      <c r="A33" s="4" t="inlineStr">
        <is>
          <t>Коммутаторы</t>
        </is>
      </c>
      <c r="B33" s="4" t="inlineStr">
        <is>
          <t>Управляемый коммутатор Ubiquiti UniFi Switch 8 PoE US-8-150W</t>
        </is>
      </c>
      <c r="C33" s="5" t="inlineStr"/>
      <c r="D33" s="5" t="n">
        <v>3854704</v>
      </c>
      <c r="E33" s="5" t="n">
        <v>3441700</v>
      </c>
      <c r="F33" s="5" t="inlineStr"/>
      <c r="G33" s="5" t="inlineStr">
        <is>
          <t>UniFi UBIQUITI</t>
        </is>
      </c>
      <c r="H33" s="5">
        <f>HYPERLINK("https://itrix.uz/product/184", "🔗 Купить продукт")</f>
        <v/>
      </c>
      <c r="I33" t="inlineStr">
        <is>
          <t>4-184-186</t>
        </is>
      </c>
    </row>
    <row r="34" ht="30" customHeight="1">
      <c r="A34" s="4" t="inlineStr">
        <is>
          <t>Коммутаторы</t>
        </is>
      </c>
      <c r="B34" s="4" t="inlineStr">
        <is>
          <t>Управляемый коммутатор Ubiquiti UniFi Switch 16 PoE US-16-150W</t>
        </is>
      </c>
      <c r="C34" s="5" t="inlineStr"/>
      <c r="D34" s="5" t="n">
        <v>5945632</v>
      </c>
      <c r="E34" s="5" t="n">
        <v>5308600</v>
      </c>
      <c r="F34" s="5" t="inlineStr"/>
      <c r="G34" s="5" t="inlineStr">
        <is>
          <t>UniFi UBIQUITI</t>
        </is>
      </c>
      <c r="H34" s="5">
        <f>HYPERLINK("https://itrix.uz/product/181", "🔗 Купить продукт")</f>
        <v/>
      </c>
      <c r="I34" t="inlineStr">
        <is>
          <t>4-181-183</t>
        </is>
      </c>
    </row>
    <row r="35" ht="30" customHeight="1">
      <c r="A35" s="4" t="inlineStr">
        <is>
          <t>Коммутаторы</t>
        </is>
      </c>
      <c r="B35" s="4" t="inlineStr">
        <is>
          <t>Управляемый коммутатор Ubiquiti UniFi Switch 24 USW-24-EU</t>
        </is>
      </c>
      <c r="C35" s="5" t="inlineStr"/>
      <c r="D35" s="5" t="n">
        <v>4580128</v>
      </c>
      <c r="E35" s="5" t="n">
        <v>4089400</v>
      </c>
      <c r="F35" s="5" t="inlineStr"/>
      <c r="G35" s="5" t="inlineStr">
        <is>
          <t>UniFi UBIQUITI</t>
        </is>
      </c>
      <c r="H35" s="5">
        <f>HYPERLINK("https://itrix.uz/product/188", "🔗 Купить продукт")</f>
        <v/>
      </c>
      <c r="I35" t="inlineStr">
        <is>
          <t>4-188-190</t>
        </is>
      </c>
    </row>
    <row r="36" ht="30" customHeight="1">
      <c r="A36" s="4" t="inlineStr">
        <is>
          <t>Сетевые хранилища NAS и DSS</t>
        </is>
      </c>
      <c r="B36" s="4" t="inlineStr">
        <is>
          <t>Сетевое хранилище NAS Synology FlashStation FS6400</t>
        </is>
      </c>
      <c r="C36" s="5" t="inlineStr"/>
      <c r="D36" s="5" t="n">
        <v>201241152</v>
      </c>
      <c r="E36" s="5" t="n">
        <v>179679600</v>
      </c>
      <c r="F36" s="5" t="inlineStr"/>
      <c r="G36" s="5" t="inlineStr">
        <is>
          <t>Synology</t>
        </is>
      </c>
      <c r="H36" s="5">
        <f>HYPERLINK("https://itrix.uz/product/277", "🔗 Купить продукт")</f>
        <v/>
      </c>
      <c r="I36" t="inlineStr">
        <is>
          <t>4-277-279</t>
        </is>
      </c>
    </row>
    <row r="37" ht="30" customHeight="1">
      <c r="A37" s="4" t="inlineStr">
        <is>
          <t>Коммутаторы</t>
        </is>
      </c>
      <c r="B37" s="4" t="inlineStr">
        <is>
          <t>Управляемый коммутатор уровня 3 SNR-S300X-24FQ-2AC</t>
        </is>
      </c>
      <c r="C37" s="5" t="inlineStr"/>
      <c r="D37" s="5" t="n">
        <v>64136016</v>
      </c>
      <c r="E37" s="5" t="n">
        <v>57264300</v>
      </c>
      <c r="F37" s="5" t="inlineStr"/>
      <c r="G37" s="5" t="inlineStr">
        <is>
          <t>SNR</t>
        </is>
      </c>
      <c r="H37" s="5">
        <f>HYPERLINK("https://itrix.uz/product/463", "🔗 Купить продукт")</f>
        <v/>
      </c>
      <c r="I37" t="inlineStr">
        <is>
          <t>4-463-447</t>
        </is>
      </c>
    </row>
    <row r="38" ht="30" customHeight="1">
      <c r="A38" s="4" t="inlineStr">
        <is>
          <t>Патч-корды медные</t>
        </is>
      </c>
      <c r="B38" s="4" t="inlineStr">
        <is>
          <t>Патч-корд Cat 5e, FTP, RJ45, 26AWG, 7/0.16 Cu, 1.00 m, LSZH, Grey</t>
        </is>
      </c>
      <c r="C38" s="5" t="inlineStr"/>
      <c r="D38" s="5" t="n">
        <v>142240</v>
      </c>
      <c r="E38" s="5" t="n">
        <v>127000</v>
      </c>
      <c r="F38" s="5" t="inlineStr"/>
      <c r="G38" s="5" t="inlineStr">
        <is>
          <t>Intel</t>
        </is>
      </c>
      <c r="H38" s="5">
        <f>HYPERLINK("https://itrix.uz/product/256", "🔗 Купить продукт")</f>
        <v/>
      </c>
      <c r="I38" t="inlineStr">
        <is>
          <t>4-256-258</t>
        </is>
      </c>
    </row>
    <row r="39" ht="30" customHeight="1">
      <c r="A39" s="4" t="inlineStr">
        <is>
          <t>Патч-корды медные</t>
        </is>
      </c>
      <c r="B39" s="4" t="inlineStr">
        <is>
          <t>Патч-корд Cat 6, FTP, RJ45, 26AWG, 7/0.16 Cu, 1.00 m, LSZH, Grey</t>
        </is>
      </c>
      <c r="C39" s="5" t="inlineStr"/>
      <c r="D39" s="5" t="n">
        <v>142240</v>
      </c>
      <c r="E39" s="5" t="n">
        <v>127000</v>
      </c>
      <c r="F39" s="5" t="inlineStr"/>
      <c r="G39" s="5" t="inlineStr">
        <is>
          <t>Intel</t>
        </is>
      </c>
      <c r="H39" s="5">
        <f>HYPERLINK("https://itrix.uz/product/260", "🔗 Купить продукт")</f>
        <v/>
      </c>
      <c r="I39" t="inlineStr">
        <is>
          <t>4-260-261</t>
        </is>
      </c>
    </row>
    <row r="40" ht="30" customHeight="1">
      <c r="A40" s="4" t="inlineStr">
        <is>
          <t>Коммутаторы</t>
        </is>
      </c>
      <c r="B40" s="4" t="inlineStr">
        <is>
          <t>Коммутатор H3C L2 S1850-28P 28-Port 24GE+4SFP Switch</t>
        </is>
      </c>
      <c r="C40" s="5" t="inlineStr"/>
      <c r="D40" s="5" t="n">
        <v>2873248</v>
      </c>
      <c r="E40" s="5" t="n">
        <v>2565400</v>
      </c>
      <c r="F40" s="5" t="inlineStr"/>
      <c r="G40" s="5" t="inlineStr">
        <is>
          <t>H3C</t>
        </is>
      </c>
      <c r="H40" s="5">
        <f>HYPERLINK("https://itrix.uz/product/196", "🔗 Купить продукт")</f>
        <v/>
      </c>
      <c r="I40" t="inlineStr">
        <is>
          <t>4-196-198</t>
        </is>
      </c>
    </row>
    <row r="41" ht="30" customHeight="1">
      <c r="A41" s="4" t="inlineStr">
        <is>
          <t>Коммутаторы</t>
        </is>
      </c>
      <c r="B41" s="4" t="inlineStr">
        <is>
          <t>Управляемый коммутатор H3C L2 S5130S-28S-LI 24G 4*1G/10G  SFP+ Switch</t>
        </is>
      </c>
      <c r="C41" s="5" t="inlineStr"/>
      <c r="D41" s="5" t="n">
        <v>3627120</v>
      </c>
      <c r="E41" s="5" t="n">
        <v>3238500</v>
      </c>
      <c r="F41" s="5" t="inlineStr"/>
      <c r="G41" s="5" t="inlineStr">
        <is>
          <t>H3C</t>
        </is>
      </c>
      <c r="H41" s="5">
        <f>HYPERLINK("https://itrix.uz/product/201", "🔗 Купить продукт")</f>
        <v/>
      </c>
      <c r="I41" t="inlineStr">
        <is>
          <t>4-201-203</t>
        </is>
      </c>
    </row>
    <row r="42" ht="30" customHeight="1">
      <c r="A42" s="4" t="inlineStr">
        <is>
          <t>Коммутаторы</t>
        </is>
      </c>
      <c r="B42" s="4" t="inlineStr">
        <is>
          <t>Коммутатор H3C L2 S1850V2-28X 24G 4x1G/10G BASE-X SFP Plus Ports Switch</t>
        </is>
      </c>
      <c r="C42" s="5" t="inlineStr"/>
      <c r="D42" s="5" t="n">
        <v>5334000</v>
      </c>
      <c r="E42" s="5" t="n">
        <v>4762500</v>
      </c>
      <c r="F42" s="5" t="inlineStr"/>
      <c r="G42" s="5" t="inlineStr">
        <is>
          <t>H3C</t>
        </is>
      </c>
      <c r="H42" s="5">
        <f>HYPERLINK("https://itrix.uz/product/199", "🔗 Купить продукт")</f>
        <v/>
      </c>
      <c r="I42" t="inlineStr">
        <is>
          <t>4-199-201</t>
        </is>
      </c>
    </row>
    <row r="43" ht="30" customHeight="1">
      <c r="A43" s="4" t="inlineStr">
        <is>
          <t>Коммутаторы</t>
        </is>
      </c>
      <c r="B43" s="4" t="inlineStr">
        <is>
          <t>Коммутатор H3C L2 S5120V2-28P-PWR-LI 24G+4SFP+PoE 185W Switch</t>
        </is>
      </c>
      <c r="C43" s="5" t="inlineStr"/>
      <c r="D43" s="5" t="n">
        <v>5590032</v>
      </c>
      <c r="E43" s="5" t="n">
        <v>4991100</v>
      </c>
      <c r="F43" s="5" t="inlineStr"/>
      <c r="G43" s="5" t="inlineStr">
        <is>
          <t>H3C</t>
        </is>
      </c>
      <c r="H43" s="5">
        <f>HYPERLINK("https://itrix.uz/product/205", "🔗 Купить продукт")</f>
        <v/>
      </c>
      <c r="I43" t="inlineStr">
        <is>
          <t>4-205-207</t>
        </is>
      </c>
    </row>
    <row r="44" ht="30" customHeight="1">
      <c r="A44" s="4" t="inlineStr">
        <is>
          <t>Коммутаторы</t>
        </is>
      </c>
      <c r="B44" s="4" t="inlineStr">
        <is>
          <t>Управляемый коммутатор Ubiquiti UniFi Switch 48 PoE USW-48-POE-EU</t>
        </is>
      </c>
      <c r="C44" s="5" t="inlineStr"/>
      <c r="D44" s="5" t="n">
        <v>10939109</v>
      </c>
      <c r="E44" s="5" t="n">
        <v>9767062</v>
      </c>
      <c r="F44" s="5" t="n">
        <v>9128125</v>
      </c>
      <c r="G44" s="5" t="inlineStr">
        <is>
          <t>UniFi UBIQUITI</t>
        </is>
      </c>
      <c r="H44" s="5">
        <f>HYPERLINK("https://itrix.uz/product/187", "🔗 Купить продукт")</f>
        <v/>
      </c>
      <c r="I44" t="inlineStr">
        <is>
          <t>4-187-189</t>
        </is>
      </c>
    </row>
    <row r="45" ht="30" customHeight="1">
      <c r="A45" s="4" t="inlineStr">
        <is>
          <t>Коммутаторы</t>
        </is>
      </c>
      <c r="B45" s="4" t="inlineStr">
        <is>
          <t>Управляемый коммутатор Ubiquiti UniFi USW-Pro-XG-24-PoE</t>
        </is>
      </c>
      <c r="C45" s="5" t="inlineStr"/>
      <c r="D45" s="5" t="n">
        <v>32272265</v>
      </c>
      <c r="E45" s="5" t="n">
        <v>28814522</v>
      </c>
      <c r="F45" s="5" t="n">
        <v>26597991</v>
      </c>
      <c r="G45" s="5" t="inlineStr">
        <is>
          <t>UniFi UBIQUITI</t>
        </is>
      </c>
      <c r="H45" s="5">
        <f>HYPERLINK("https://itrix.uz/product/1435", "🔗 Купить продукт")</f>
        <v/>
      </c>
      <c r="I45" t="inlineStr">
        <is>
          <t>4-1435-1135</t>
        </is>
      </c>
    </row>
    <row r="46" ht="30" customHeight="1">
      <c r="A46" s="4" t="inlineStr">
        <is>
          <t>Коммутаторы</t>
        </is>
      </c>
      <c r="B46" s="4" t="inlineStr">
        <is>
          <t>Управляемый PoE коммутатор H3C L2 S5024PV3-EI-PWR 24G+PoE+4SFP Switch</t>
        </is>
      </c>
      <c r="C46" s="5" t="inlineStr"/>
      <c r="D46" s="5" t="n">
        <v>4836160</v>
      </c>
      <c r="E46" s="5" t="n">
        <v>4318000</v>
      </c>
      <c r="F46" s="5" t="inlineStr"/>
      <c r="G46" s="5" t="inlineStr">
        <is>
          <t>H3C</t>
        </is>
      </c>
      <c r="H46" s="5">
        <f>HYPERLINK("https://itrix.uz/product/204", "🔗 Купить продукт")</f>
        <v/>
      </c>
      <c r="I46" t="inlineStr">
        <is>
          <t>4-204-206</t>
        </is>
      </c>
    </row>
    <row r="47" ht="30" customHeight="1">
      <c r="A47" s="4" t="inlineStr">
        <is>
          <t>Коммутаторы</t>
        </is>
      </c>
      <c r="B47" s="4" t="inlineStr">
        <is>
          <t>Управляемый коммутатор H3C L2 S5024PV3-EI 24G+4SFP Switch</t>
        </is>
      </c>
      <c r="C47" s="5" t="inlineStr"/>
      <c r="D47" s="5" t="n">
        <v>3499104</v>
      </c>
      <c r="E47" s="5" t="n">
        <v>3124200</v>
      </c>
      <c r="F47" s="5" t="inlineStr"/>
      <c r="G47" s="5" t="inlineStr">
        <is>
          <t>H3C</t>
        </is>
      </c>
      <c r="H47" s="5">
        <f>HYPERLINK("https://itrix.uz/product/216", "🔗 Купить продукт")</f>
        <v/>
      </c>
      <c r="I47" t="inlineStr">
        <is>
          <t>4-216-218</t>
        </is>
      </c>
    </row>
    <row r="48" ht="30" customHeight="1">
      <c r="A48" s="4" t="inlineStr">
        <is>
          <t>Сетевое оборудование</t>
        </is>
      </c>
      <c r="B48" s="4" t="inlineStr">
        <is>
          <t>Патч-кабель Ubiquiti U-Cable-Patch-3M-RJ45-White</t>
        </is>
      </c>
      <c r="C48" s="5" t="inlineStr"/>
      <c r="D48" s="5" t="n">
        <v>60879</v>
      </c>
      <c r="E48" s="5" t="n">
        <v>54356</v>
      </c>
      <c r="F48" s="5" t="n">
        <v>50165</v>
      </c>
      <c r="G48" s="5" t="inlineStr">
        <is>
          <t>UniFi UBIQUITI</t>
        </is>
      </c>
      <c r="H48" s="5">
        <f>HYPERLINK("https://itrix.uz/product/1402", "🔗 Купить продукт")</f>
        <v/>
      </c>
      <c r="I48" t="inlineStr">
        <is>
          <t>4-1402-1102</t>
        </is>
      </c>
    </row>
    <row r="49" ht="30" customHeight="1">
      <c r="A49" s="4" t="inlineStr">
        <is>
          <t>Коммутаторы</t>
        </is>
      </c>
      <c r="B49" s="4" t="inlineStr">
        <is>
          <t>Управляемый коммутатор уровня 2 SNR-S2962-24T</t>
        </is>
      </c>
      <c r="C49" s="5" t="inlineStr"/>
      <c r="D49" s="5" t="n">
        <v>1820672</v>
      </c>
      <c r="E49" s="5" t="n">
        <v>1625600</v>
      </c>
      <c r="F49" s="5" t="inlineStr"/>
      <c r="G49" s="5" t="inlineStr">
        <is>
          <t>SNR</t>
        </is>
      </c>
      <c r="H49" s="5">
        <f>HYPERLINK("https://itrix.uz/product/420", "🔗 Купить продукт")</f>
        <v/>
      </c>
      <c r="I49" t="inlineStr">
        <is>
          <t>4-420-404</t>
        </is>
      </c>
    </row>
    <row r="50" ht="30" customHeight="1">
      <c r="A50" s="4" t="inlineStr">
        <is>
          <t>Коммутаторы</t>
        </is>
      </c>
      <c r="B50" s="4" t="inlineStr">
        <is>
          <t>Управляемый коммутатор Ubiquiti UniFi Switch 48 PoE US-48-500W</t>
        </is>
      </c>
      <c r="C50" s="5" t="inlineStr"/>
      <c r="D50" s="5" t="n">
        <v>16371824</v>
      </c>
      <c r="E50" s="5" t="n">
        <v>14617700</v>
      </c>
      <c r="F50" s="5" t="inlineStr"/>
      <c r="G50" s="5" t="inlineStr">
        <is>
          <t>UniFi UBIQUITI</t>
        </is>
      </c>
      <c r="H50" s="5">
        <f>HYPERLINK("https://itrix.uz/product/183", "🔗 Купить продукт")</f>
        <v/>
      </c>
      <c r="I50" t="inlineStr">
        <is>
          <t>4-183-185</t>
        </is>
      </c>
    </row>
    <row r="51" ht="30" customHeight="1">
      <c r="A51" s="4" t="inlineStr">
        <is>
          <t>Коммутаторы</t>
        </is>
      </c>
      <c r="B51" s="4" t="inlineStr">
        <is>
          <t>Коммутатор  FortiNet FortiSwitch - 424E</t>
        </is>
      </c>
      <c r="C51" s="5" t="inlineStr"/>
      <c r="D51" s="5" t="n">
        <v>33611312</v>
      </c>
      <c r="E51" s="5" t="n">
        <v>30010100</v>
      </c>
      <c r="F51" s="5" t="inlineStr"/>
      <c r="G51" s="5" t="inlineStr">
        <is>
          <t>Fortinet</t>
        </is>
      </c>
      <c r="H51" s="5">
        <f>HYPERLINK("https://itrix.uz/product/609", "🔗 Купить продукт")</f>
        <v/>
      </c>
      <c r="I51" t="inlineStr">
        <is>
          <t>4-609-563</t>
        </is>
      </c>
    </row>
    <row r="52" ht="30" customHeight="1">
      <c r="A52" s="4" t="inlineStr">
        <is>
          <t>Коммутаторы</t>
        </is>
      </c>
      <c r="B52" s="4" t="inlineStr">
        <is>
          <t>Коммутатор Dell EMC Networking S5248F-ON</t>
        </is>
      </c>
      <c r="C52" s="5" t="inlineStr"/>
      <c r="D52" s="5" t="n">
        <v>79654400</v>
      </c>
      <c r="E52" s="5" t="n">
        <v>71120000</v>
      </c>
      <c r="F52" s="5" t="inlineStr"/>
      <c r="G52" s="5" t="inlineStr">
        <is>
          <t>Dell</t>
        </is>
      </c>
      <c r="H52" s="5">
        <f>HYPERLINK("https://itrix.uz/product/570", "🔗 Купить продукт")</f>
        <v/>
      </c>
      <c r="I52" t="inlineStr">
        <is>
          <t>4-570-531</t>
        </is>
      </c>
    </row>
    <row r="53" ht="30" customHeight="1">
      <c r="A53" s="4" t="inlineStr">
        <is>
          <t>Коммутаторы</t>
        </is>
      </c>
      <c r="B53" s="4" t="inlineStr">
        <is>
          <t>Управляемый коммутатор  Grandstream GWN7801</t>
        </is>
      </c>
      <c r="C53" s="5" t="inlineStr"/>
      <c r="D53" s="5" t="n">
        <v>1826362</v>
      </c>
      <c r="E53" s="5" t="n">
        <v>1630680</v>
      </c>
      <c r="F53" s="5" t="inlineStr"/>
      <c r="G53" s="5" t="inlineStr">
        <is>
          <t>Grandstream</t>
        </is>
      </c>
      <c r="H53" s="5">
        <f>HYPERLINK("https://itrix.uz/product/966", "🔗 Купить продукт")</f>
        <v/>
      </c>
      <c r="I53" t="inlineStr">
        <is>
          <t>4-966-855</t>
        </is>
      </c>
    </row>
    <row r="54" ht="30" customHeight="1">
      <c r="A54" s="4" t="inlineStr">
        <is>
          <t>Коммутаторы</t>
        </is>
      </c>
      <c r="B54" s="4" t="inlineStr">
        <is>
          <t>Управляемый коммутатор Ubiquiti UniFi Switch 48 USW-PRO-48-EU</t>
        </is>
      </c>
      <c r="C54" s="5" t="inlineStr"/>
      <c r="D54" s="5" t="n">
        <v>12161520</v>
      </c>
      <c r="E54" s="5" t="n">
        <v>10858500</v>
      </c>
      <c r="F54" s="5" t="inlineStr"/>
      <c r="G54" s="5" t="inlineStr">
        <is>
          <t>UniFi UBIQUITI</t>
        </is>
      </c>
      <c r="H54" s="5">
        <f>HYPERLINK("https://itrix.uz/product/191", "🔗 Купить продукт")</f>
        <v/>
      </c>
      <c r="I54" t="inlineStr">
        <is>
          <t>4-191-193</t>
        </is>
      </c>
    </row>
    <row r="55" ht="30" customHeight="1">
      <c r="A55" s="4" t="inlineStr">
        <is>
          <t>Коммутаторы</t>
        </is>
      </c>
      <c r="B55" s="4" t="inlineStr">
        <is>
          <t>Управляемый коммутатор Ubiquiti UniFi Switch 24 USW-PRO-24-EU</t>
        </is>
      </c>
      <c r="C55" s="5" t="inlineStr"/>
      <c r="D55" s="5" t="n">
        <v>8278368</v>
      </c>
      <c r="E55" s="5" t="n">
        <v>7391400</v>
      </c>
      <c r="F55" s="5" t="inlineStr"/>
      <c r="G55" s="5" t="inlineStr">
        <is>
          <t>UniFi UBIQUITI</t>
        </is>
      </c>
      <c r="H55" s="5">
        <f>HYPERLINK("https://itrix.uz/product/190", "🔗 Купить продукт")</f>
        <v/>
      </c>
      <c r="I55" t="inlineStr">
        <is>
          <t>4-190-192</t>
        </is>
      </c>
    </row>
    <row r="56" ht="30" customHeight="1">
      <c r="A56" s="4" t="inlineStr">
        <is>
          <t>Коммутаторы</t>
        </is>
      </c>
      <c r="B56" s="4" t="inlineStr">
        <is>
          <t xml:space="preserve">Управляемый коммутатор Grandstream GWN7801P </t>
        </is>
      </c>
      <c r="C56" s="5" t="inlineStr"/>
      <c r="D56" s="5" t="n">
        <v>2850490</v>
      </c>
      <c r="E56" s="5" t="n">
        <v>2545080</v>
      </c>
      <c r="F56" s="5" t="inlineStr"/>
      <c r="G56" s="5" t="inlineStr">
        <is>
          <t>Grandstream</t>
        </is>
      </c>
      <c r="H56" s="5">
        <f>HYPERLINK("https://itrix.uz/product/967", "🔗 Купить продукт")</f>
        <v/>
      </c>
      <c r="I56" t="inlineStr">
        <is>
          <t>4-967-856</t>
        </is>
      </c>
    </row>
    <row r="57" ht="30" customHeight="1">
      <c r="A57" s="4" t="inlineStr">
        <is>
          <t>Коммутаторы</t>
        </is>
      </c>
      <c r="B57" s="4" t="inlineStr">
        <is>
          <t>Управляемый коммутатор уровня 2 SNR-S2985G-24TC</t>
        </is>
      </c>
      <c r="C57" s="5" t="inlineStr"/>
      <c r="D57" s="5" t="n">
        <v>3157728</v>
      </c>
      <c r="E57" s="5" t="n">
        <v>2819400</v>
      </c>
      <c r="F57" s="5" t="inlineStr"/>
      <c r="G57" s="5" t="inlineStr">
        <is>
          <t>SNR</t>
        </is>
      </c>
      <c r="H57" s="5">
        <f>HYPERLINK("https://itrix.uz/product/426", "🔗 Купить продукт")</f>
        <v/>
      </c>
      <c r="I57" t="inlineStr">
        <is>
          <t>4-426-410</t>
        </is>
      </c>
    </row>
    <row r="58" ht="30" customHeight="1">
      <c r="A58" s="4" t="inlineStr">
        <is>
          <t>Сетевые хранилища NAS и DSS</t>
        </is>
      </c>
      <c r="B58" s="4" t="inlineStr">
        <is>
          <t>Сетевое хранилище NAS Synology DS920+</t>
        </is>
      </c>
      <c r="C58" s="5" t="inlineStr"/>
      <c r="D58" s="5" t="n">
        <v>10596880</v>
      </c>
      <c r="E58" s="5" t="n">
        <v>9461500</v>
      </c>
      <c r="F58" s="5" t="inlineStr"/>
      <c r="G58" s="5" t="inlineStr">
        <is>
          <t>Synology</t>
        </is>
      </c>
      <c r="H58" s="5">
        <f>HYPERLINK("https://itrix.uz/product/276", "🔗 Купить продукт")</f>
        <v/>
      </c>
      <c r="I58" t="inlineStr">
        <is>
          <t>4-276-278</t>
        </is>
      </c>
    </row>
    <row r="59" ht="30" customHeight="1">
      <c r="A59" s="4" t="inlineStr">
        <is>
          <t>Коммутаторы</t>
        </is>
      </c>
      <c r="B59" s="4" t="inlineStr">
        <is>
          <t xml:space="preserve"> Коммутатор H3C L2 S1850-52P 52-Port 48GE+4SFP Switch</t>
        </is>
      </c>
      <c r="C59" s="5" t="inlineStr"/>
      <c r="D59" s="5" t="n">
        <v>5348224</v>
      </c>
      <c r="E59" s="5" t="n">
        <v>4775200</v>
      </c>
      <c r="F59" s="5" t="inlineStr"/>
      <c r="G59" s="5" t="inlineStr">
        <is>
          <t>H3C</t>
        </is>
      </c>
      <c r="H59" s="5">
        <f>HYPERLINK("https://itrix.uz/product/197", "🔗 Купить продукт")</f>
        <v/>
      </c>
      <c r="I59" t="inlineStr">
        <is>
          <t>4-197-199</t>
        </is>
      </c>
    </row>
    <row r="60" ht="30" customHeight="1">
      <c r="A60" s="4" t="inlineStr">
        <is>
          <t>Сетевое оборудование</t>
        </is>
      </c>
      <c r="B60" s="4" t="inlineStr">
        <is>
          <t>Грозозащита Ubiquiti ETH-SP-G2</t>
        </is>
      </c>
      <c r="C60" s="5" t="inlineStr"/>
      <c r="D60" s="5" t="n">
        <v>238110</v>
      </c>
      <c r="E60" s="5" t="n">
        <v>212598</v>
      </c>
      <c r="F60" s="5" t="n">
        <v>196215</v>
      </c>
      <c r="G60" s="5" t="inlineStr">
        <is>
          <t>UniFi UBIQUITI</t>
        </is>
      </c>
      <c r="H60" s="5">
        <f>HYPERLINK("https://itrix.uz/product/1346", "🔗 Купить продукт")</f>
        <v/>
      </c>
      <c r="I60" t="inlineStr">
        <is>
          <t>4-1346-1046</t>
        </is>
      </c>
    </row>
    <row r="61" ht="30" customHeight="1">
      <c r="A61" s="4" t="inlineStr">
        <is>
          <t>Патч-корды медные</t>
        </is>
      </c>
      <c r="B61" s="4" t="inlineStr">
        <is>
          <t>Патч-корд Cat 6, FTP, RJ45, 26AWG, 7/0.16 Cu, 2.00 m, LSZH, Grey</t>
        </is>
      </c>
      <c r="C61" s="5" t="inlineStr"/>
      <c r="D61" s="5" t="n">
        <v>142240</v>
      </c>
      <c r="E61" s="5" t="n">
        <v>127000</v>
      </c>
      <c r="F61" s="5" t="inlineStr"/>
      <c r="G61" s="5" t="inlineStr">
        <is>
          <t>Intel</t>
        </is>
      </c>
      <c r="H61" s="5">
        <f>HYPERLINK("https://itrix.uz/product/261", "🔗 Купить продукт")</f>
        <v/>
      </c>
      <c r="I61" t="inlineStr">
        <is>
          <t>4-261-262</t>
        </is>
      </c>
    </row>
    <row r="62" ht="30" customHeight="1">
      <c r="A62" s="4" t="inlineStr">
        <is>
          <t>Коммутаторы</t>
        </is>
      </c>
      <c r="B62" s="4" t="inlineStr">
        <is>
          <t>Коммутатор H3C L2 S5120V2-20P-LI 16G+4SFP Switch</t>
        </is>
      </c>
      <c r="C62" s="5" t="inlineStr"/>
      <c r="D62" s="5" t="n">
        <v>2802128</v>
      </c>
      <c r="E62" s="5" t="n">
        <v>2501900</v>
      </c>
      <c r="F62" s="5" t="inlineStr"/>
      <c r="G62" s="5" t="inlineStr">
        <is>
          <t>H3C</t>
        </is>
      </c>
      <c r="H62" s="5">
        <f>HYPERLINK("https://itrix.uz/product/200", "🔗 Купить продукт")</f>
        <v/>
      </c>
      <c r="I62" t="inlineStr">
        <is>
          <t>4-200-202</t>
        </is>
      </c>
    </row>
    <row r="63" ht="30" customHeight="1">
      <c r="A63" s="4" t="inlineStr">
        <is>
          <t>Коммутаторы</t>
        </is>
      </c>
      <c r="B63" s="4" t="inlineStr">
        <is>
          <t>Коммутатор H3C L2 S1850-28P-PWR 28-Port  24GE+4SFP+PoE AC Switch</t>
        </is>
      </c>
      <c r="C63" s="5" t="inlineStr"/>
      <c r="D63" s="5" t="n">
        <v>5902960</v>
      </c>
      <c r="E63" s="5" t="n">
        <v>5270500</v>
      </c>
      <c r="F63" s="5" t="inlineStr"/>
      <c r="G63" s="5" t="inlineStr">
        <is>
          <t>H3C</t>
        </is>
      </c>
      <c r="H63" s="5">
        <f>HYPERLINK("https://itrix.uz/product/206", "🔗 Купить продукт")</f>
        <v/>
      </c>
      <c r="I63" t="inlineStr">
        <is>
          <t>4-206-208</t>
        </is>
      </c>
    </row>
    <row r="64" ht="30" customHeight="1">
      <c r="A64" s="4" t="inlineStr">
        <is>
          <t>Коммутаторы</t>
        </is>
      </c>
      <c r="B64" s="4" t="inlineStr">
        <is>
          <t>Управляемый коммутатор Zyxel GS1350-26HP 24G 2SFP PoE Switch</t>
        </is>
      </c>
      <c r="C64" s="5" t="inlineStr"/>
      <c r="D64" s="5" t="n">
        <v>11165840</v>
      </c>
      <c r="E64" s="5" t="n">
        <v>9969500</v>
      </c>
      <c r="F64" s="5" t="inlineStr"/>
      <c r="G64" s="5" t="inlineStr">
        <is>
          <t>Zyxel</t>
        </is>
      </c>
      <c r="H64" s="5">
        <f>HYPERLINK("https://itrix.uz/product/224", "🔗 Купить продукт")</f>
        <v/>
      </c>
      <c r="I64" t="inlineStr">
        <is>
          <t>4-224-226</t>
        </is>
      </c>
    </row>
    <row r="65" ht="30" customHeight="1">
      <c r="A65" s="4" t="inlineStr">
        <is>
          <t>Коммутаторы</t>
        </is>
      </c>
      <c r="B65" s="4" t="inlineStr">
        <is>
          <t>Управляемый коммутатор уровня 2 SNR-S2985G-48T</t>
        </is>
      </c>
      <c r="C65" s="5" t="inlineStr"/>
      <c r="D65" s="5" t="n">
        <v>6500937</v>
      </c>
      <c r="E65" s="5" t="n">
        <v>5804408</v>
      </c>
      <c r="F65" s="5" t="inlineStr"/>
      <c r="G65" s="5" t="inlineStr">
        <is>
          <t>SNR</t>
        </is>
      </c>
      <c r="H65" s="5">
        <f>HYPERLINK("https://itrix.uz/product/430", "🔗 Купить продукт")</f>
        <v/>
      </c>
      <c r="I65" t="inlineStr">
        <is>
          <t>4-430-414</t>
        </is>
      </c>
    </row>
    <row r="66" ht="30" customHeight="1">
      <c r="A66" s="4" t="inlineStr">
        <is>
          <t>Коммутаторы</t>
        </is>
      </c>
      <c r="B66" s="4" t="inlineStr">
        <is>
          <t xml:space="preserve"> Управляемый коммутатор Grandstream GWN7802 </t>
        </is>
      </c>
      <c r="C66" s="5" t="inlineStr"/>
      <c r="D66" s="5" t="n">
        <v>3072384</v>
      </c>
      <c r="E66" s="5" t="n">
        <v>2743200</v>
      </c>
      <c r="F66" s="5" t="inlineStr"/>
      <c r="G66" s="5" t="inlineStr">
        <is>
          <t>Grandstream</t>
        </is>
      </c>
      <c r="H66" s="5">
        <f>HYPERLINK("https://itrix.uz/product/968", "🔗 Купить продукт")</f>
        <v/>
      </c>
      <c r="I66" t="inlineStr">
        <is>
          <t>4-968-857</t>
        </is>
      </c>
    </row>
    <row r="67" ht="30" customHeight="1">
      <c r="A67" s="4" t="inlineStr">
        <is>
          <t>Сетевые хранилища NAS и DSS</t>
        </is>
      </c>
      <c r="B67" s="4" t="inlineStr">
        <is>
          <t>Сетевое хранилище NAS Synology DS1821+</t>
        </is>
      </c>
      <c r="C67" s="5" t="inlineStr"/>
      <c r="D67" s="5" t="n">
        <v>19600672</v>
      </c>
      <c r="E67" s="5" t="n">
        <v>17500600</v>
      </c>
      <c r="F67" s="5" t="inlineStr"/>
      <c r="G67" s="5" t="inlineStr">
        <is>
          <t>Synology</t>
        </is>
      </c>
      <c r="H67" s="5">
        <f>HYPERLINK("https://itrix.uz/product/273", "🔗 Купить продукт")</f>
        <v/>
      </c>
      <c r="I67" t="inlineStr">
        <is>
          <t>4-273-275</t>
        </is>
      </c>
    </row>
    <row r="68" ht="30" customHeight="1">
      <c r="A68" s="4" t="inlineStr">
        <is>
          <t>Сетевые хранилища NAS и DSS</t>
        </is>
      </c>
      <c r="B68" s="4" t="inlineStr">
        <is>
          <t xml:space="preserve">Сетевое хранилище NAS Synology RackStation RS2423+ </t>
        </is>
      </c>
      <c r="C68" s="5" t="inlineStr"/>
      <c r="D68" s="5" t="n">
        <v>41406064</v>
      </c>
      <c r="E68" s="5" t="n">
        <v>36969700</v>
      </c>
      <c r="F68" s="5" t="inlineStr"/>
      <c r="G68" s="5" t="inlineStr">
        <is>
          <t>Synology</t>
        </is>
      </c>
      <c r="H68" s="5">
        <f>HYPERLINK("https://itrix.uz/product/279", "🔗 Купить продукт")</f>
        <v/>
      </c>
      <c r="I68" t="inlineStr">
        <is>
          <t>4-279-281</t>
        </is>
      </c>
    </row>
    <row r="69" ht="30" customHeight="1">
      <c r="A69" s="4" t="inlineStr">
        <is>
          <t>Коммутаторы</t>
        </is>
      </c>
      <c r="B69" s="4" t="inlineStr">
        <is>
          <t>Управляемый POE коммутатор уровня 2 SNR-S2985G-8T-POE</t>
        </is>
      </c>
      <c r="C69" s="5" t="inlineStr"/>
      <c r="D69" s="5" t="n">
        <v>3570224</v>
      </c>
      <c r="E69" s="5" t="n">
        <v>3187700</v>
      </c>
      <c r="F69" s="5" t="inlineStr"/>
      <c r="G69" s="5" t="inlineStr">
        <is>
          <t>SNR</t>
        </is>
      </c>
      <c r="H69" s="5">
        <f>HYPERLINK("https://itrix.uz/product/472", "🔗 Купить продукт")</f>
        <v/>
      </c>
      <c r="I69" t="inlineStr">
        <is>
          <t>4-472-456</t>
        </is>
      </c>
    </row>
    <row r="70" ht="30" customHeight="1">
      <c r="A70" s="4" t="inlineStr">
        <is>
          <t>Сетевое оборудование</t>
        </is>
      </c>
      <c r="B70" s="4" t="inlineStr">
        <is>
          <t>Комплект направляющих для для стоечных устройств не более 2U</t>
        </is>
      </c>
      <c r="C70" s="5" t="inlineStr"/>
      <c r="D70" s="5" t="n">
        <v>711200</v>
      </c>
      <c r="E70" s="5" t="n">
        <v>635000</v>
      </c>
      <c r="F70" s="5" t="inlineStr"/>
      <c r="G70" s="5" t="inlineStr"/>
      <c r="H70" s="5">
        <f>HYPERLINK("https://itrix.uz/product/282", "🔗 Купить продукт")</f>
        <v/>
      </c>
      <c r="I70" t="inlineStr">
        <is>
          <t>4-282-284</t>
        </is>
      </c>
    </row>
    <row r="71" ht="30" customHeight="1">
      <c r="A71" s="4" t="inlineStr">
        <is>
          <t>Коммутаторы</t>
        </is>
      </c>
      <c r="B71" s="4" t="inlineStr">
        <is>
          <t xml:space="preserve">Управляемый коммутатор Grandstream GWN7802P </t>
        </is>
      </c>
      <c r="C71" s="5" t="inlineStr"/>
      <c r="D71" s="5" t="n">
        <v>4762195</v>
      </c>
      <c r="E71" s="5" t="n">
        <v>4251960</v>
      </c>
      <c r="F71" s="5" t="inlineStr"/>
      <c r="G71" s="5" t="inlineStr">
        <is>
          <t>Grandstream</t>
        </is>
      </c>
      <c r="H71" s="5">
        <f>HYPERLINK("https://itrix.uz/product/969", "🔗 Купить продукт")</f>
        <v/>
      </c>
      <c r="I71" t="inlineStr">
        <is>
          <t>4-969-858</t>
        </is>
      </c>
    </row>
    <row r="72" ht="30" customHeight="1">
      <c r="A72" s="4" t="inlineStr">
        <is>
          <t>Коммутаторы</t>
        </is>
      </c>
      <c r="B72" s="4" t="inlineStr">
        <is>
          <t>Управляемый коммутатор H3C L3 S5560S-52F-EI 48G SFP / 2*GE Combo Ports / 4x1G/10G SFP+ Switch</t>
        </is>
      </c>
      <c r="C72" s="5" t="inlineStr"/>
      <c r="D72" s="5" t="n">
        <v>11948160</v>
      </c>
      <c r="E72" s="5" t="n">
        <v>10668000</v>
      </c>
      <c r="F72" s="5" t="inlineStr"/>
      <c r="G72" s="5" t="inlineStr">
        <is>
          <t>H3C</t>
        </is>
      </c>
      <c r="H72" s="5">
        <f>HYPERLINK("https://itrix.uz/product/207", "🔗 Купить продукт")</f>
        <v/>
      </c>
      <c r="I72" t="inlineStr">
        <is>
          <t>4-207-209</t>
        </is>
      </c>
    </row>
    <row r="73" ht="30" customHeight="1">
      <c r="A73" s="4" t="inlineStr">
        <is>
          <t>Коммутаторы</t>
        </is>
      </c>
      <c r="B73" s="4" t="inlineStr">
        <is>
          <t>Управляемый коммутатор Grandstream GWN7803</t>
        </is>
      </c>
      <c r="C73" s="5" t="inlineStr"/>
      <c r="D73" s="5" t="n">
        <v>3618586</v>
      </c>
      <c r="E73" s="5" t="n">
        <v>3230880</v>
      </c>
      <c r="F73" s="5" t="inlineStr"/>
      <c r="G73" s="5" t="inlineStr">
        <is>
          <t>Grandstream</t>
        </is>
      </c>
      <c r="H73" s="5">
        <f>HYPERLINK("https://itrix.uz/product/970", "🔗 Купить продукт")</f>
        <v/>
      </c>
      <c r="I73" t="inlineStr">
        <is>
          <t>4-970-859</t>
        </is>
      </c>
    </row>
    <row r="74" ht="30" customHeight="1">
      <c r="A74" s="4" t="inlineStr">
        <is>
          <t>Коммутаторы</t>
        </is>
      </c>
      <c r="B74" s="4" t="inlineStr">
        <is>
          <t>Коммутатор H3C L2 S1850V2-10P-EI 8 GE, 2 SFP switch</t>
        </is>
      </c>
      <c r="C74" s="5" t="inlineStr"/>
      <c r="D74" s="5" t="n">
        <v>2346960</v>
      </c>
      <c r="E74" s="5" t="n">
        <v>2095500</v>
      </c>
      <c r="F74" s="5" t="inlineStr"/>
      <c r="G74" s="5" t="inlineStr">
        <is>
          <t>H3C</t>
        </is>
      </c>
      <c r="H74" s="5">
        <f>HYPERLINK("https://itrix.uz/product/198", "🔗 Купить продукт")</f>
        <v/>
      </c>
      <c r="I74" t="inlineStr">
        <is>
          <t>4-198-200</t>
        </is>
      </c>
    </row>
    <row r="75" ht="30" customHeight="1">
      <c r="A75" s="4" t="inlineStr">
        <is>
          <t>Коммутаторы</t>
        </is>
      </c>
      <c r="B75" s="4" t="inlineStr">
        <is>
          <t>Управляемый коммутатор уровня 3 SNR-S3850G-24TX</t>
        </is>
      </c>
      <c r="C75" s="5" t="inlineStr"/>
      <c r="D75" s="5" t="n">
        <v>14792960</v>
      </c>
      <c r="E75" s="5" t="n">
        <v>13208000</v>
      </c>
      <c r="F75" s="5" t="inlineStr"/>
      <c r="G75" s="5" t="inlineStr">
        <is>
          <t>SNR</t>
        </is>
      </c>
      <c r="H75" s="5">
        <f>HYPERLINK("https://itrix.uz/product/453", "🔗 Купить продукт")</f>
        <v/>
      </c>
      <c r="I75" t="inlineStr">
        <is>
          <t>4-453-437</t>
        </is>
      </c>
    </row>
    <row r="76" ht="30" customHeight="1">
      <c r="A76" s="4" t="inlineStr">
        <is>
          <t>Коммутаторы</t>
        </is>
      </c>
      <c r="B76" s="4" t="inlineStr">
        <is>
          <t>Управляемый UniFi Switch Pro 48 PoE USW-Pro-48-POE</t>
        </is>
      </c>
      <c r="C76" s="5" t="inlineStr"/>
      <c r="D76" s="5" t="n">
        <v>19151763</v>
      </c>
      <c r="E76" s="5" t="n">
        <v>17099788</v>
      </c>
      <c r="F76" s="5" t="n">
        <v>15784449</v>
      </c>
      <c r="G76" s="5" t="inlineStr">
        <is>
          <t>UniFi UBIQUITI</t>
        </is>
      </c>
      <c r="H76" s="5">
        <f>HYPERLINK("https://itrix.uz/product/195", "🔗 Купить продукт")</f>
        <v/>
      </c>
      <c r="I76" t="inlineStr">
        <is>
          <t>4-195-197</t>
        </is>
      </c>
    </row>
    <row r="77" ht="30" customHeight="1">
      <c r="A77" s="4" t="inlineStr">
        <is>
          <t>Коммутаторы</t>
        </is>
      </c>
      <c r="B77" s="4" t="inlineStr">
        <is>
          <t>Управляемый POE коммутатор уровня 2 SNR-S2982G-24T-POE</t>
        </is>
      </c>
      <c r="C77" s="5" t="inlineStr"/>
      <c r="D77" s="5" t="n">
        <v>7226219</v>
      </c>
      <c r="E77" s="5" t="n">
        <v>6451981</v>
      </c>
      <c r="F77" s="5" t="n">
        <v>5760720</v>
      </c>
      <c r="G77" s="5" t="inlineStr">
        <is>
          <t>SNR</t>
        </is>
      </c>
      <c r="H77" s="5">
        <f>HYPERLINK("https://itrix.uz/product/473", "🔗 Купить продукт")</f>
        <v/>
      </c>
      <c r="I77" t="inlineStr">
        <is>
          <t>4-473-457</t>
        </is>
      </c>
    </row>
    <row r="78" ht="30" customHeight="1">
      <c r="A78" s="4" t="inlineStr">
        <is>
          <t>Коммутаторы</t>
        </is>
      </c>
      <c r="B78" s="4" t="inlineStr">
        <is>
          <t>Управляемый коммутатор уровня 3 SNR-S4350X-24FC</t>
        </is>
      </c>
      <c r="C78" s="5" t="inlineStr"/>
      <c r="D78" s="5" t="n">
        <v>76525120</v>
      </c>
      <c r="E78" s="5" t="n">
        <v>68326000</v>
      </c>
      <c r="F78" s="5" t="inlineStr"/>
      <c r="G78" s="5" t="inlineStr">
        <is>
          <t>SNR</t>
        </is>
      </c>
      <c r="H78" s="5">
        <f>HYPERLINK("https://itrix.uz/product/456", "🔗 Купить продукт")</f>
        <v/>
      </c>
      <c r="I78" t="inlineStr">
        <is>
          <t>4-456-440</t>
        </is>
      </c>
    </row>
    <row r="79" ht="30" customHeight="1">
      <c r="A79" s="4" t="inlineStr">
        <is>
          <t>Патч-корды медные</t>
        </is>
      </c>
      <c r="B79" s="4" t="inlineStr">
        <is>
          <t>Патч-корд Cat 5e, FTP, RJ45, 26AWG, 7/0.16 Cu, 5.00 m, LSZH, Grey</t>
        </is>
      </c>
      <c r="C79" s="5" t="inlineStr"/>
      <c r="D79" s="5" t="n">
        <v>142240</v>
      </c>
      <c r="E79" s="5" t="n">
        <v>127000</v>
      </c>
      <c r="F79" s="5" t="inlineStr"/>
      <c r="G79" s="5" t="inlineStr">
        <is>
          <t>Intel</t>
        </is>
      </c>
      <c r="H79" s="5">
        <f>HYPERLINK("https://itrix.uz/product/259", "🔗 Купить продукт")</f>
        <v/>
      </c>
      <c r="I79" t="inlineStr">
        <is>
          <t>4-259-260</t>
        </is>
      </c>
    </row>
    <row r="80" ht="30" customHeight="1">
      <c r="A80" s="4" t="inlineStr">
        <is>
          <t>Коммутаторы</t>
        </is>
      </c>
      <c r="B80" s="4" t="inlineStr">
        <is>
          <t>Управляемый коммутатор уровня 3 SNR-S3850G-24FX</t>
        </is>
      </c>
      <c r="C80" s="5" t="inlineStr"/>
      <c r="D80" s="5" t="n">
        <v>12446000</v>
      </c>
      <c r="E80" s="5" t="n">
        <v>11112500</v>
      </c>
      <c r="F80" s="5" t="inlineStr"/>
      <c r="G80" s="5" t="inlineStr">
        <is>
          <t>SNR</t>
        </is>
      </c>
      <c r="H80" s="5">
        <f>HYPERLINK("https://itrix.uz/product/460", "🔗 Купить продукт")</f>
        <v/>
      </c>
      <c r="I80" t="inlineStr">
        <is>
          <t>4-460-444</t>
        </is>
      </c>
    </row>
    <row r="81" ht="30" customHeight="1">
      <c r="A81" s="4" t="inlineStr">
        <is>
          <t>Патч-корды медные</t>
        </is>
      </c>
      <c r="B81" s="4" t="inlineStr">
        <is>
          <t>Патч-корд Cat 6, FTP, RJ45, 26AWG, 7/0.16 Cu, 3.00 m, LSZH, Grey</t>
        </is>
      </c>
      <c r="C81" s="5" t="inlineStr"/>
      <c r="D81" s="5" t="n">
        <v>142240</v>
      </c>
      <c r="E81" s="5" t="n">
        <v>127000</v>
      </c>
      <c r="F81" s="5" t="inlineStr"/>
      <c r="G81" s="5" t="inlineStr">
        <is>
          <t>Intel</t>
        </is>
      </c>
      <c r="H81" s="5">
        <f>HYPERLINK("https://itrix.uz/product/262", "🔗 Купить продукт")</f>
        <v/>
      </c>
      <c r="I81" t="inlineStr">
        <is>
          <t>4-262-263</t>
        </is>
      </c>
    </row>
    <row r="82" ht="30" customHeight="1">
      <c r="A82" s="4" t="inlineStr">
        <is>
          <t>Коммутаторы</t>
        </is>
      </c>
      <c r="B82" s="4" t="inlineStr">
        <is>
          <t>Управляемый коммутатор уровня 2 SNR-S2990X-24FQ-2AC</t>
        </is>
      </c>
      <c r="C82" s="5" t="inlineStr"/>
      <c r="D82" s="5" t="n">
        <v>46825408</v>
      </c>
      <c r="E82" s="5" t="n">
        <v>41808400</v>
      </c>
      <c r="F82" s="5" t="inlineStr"/>
      <c r="G82" s="5" t="inlineStr">
        <is>
          <t>SNR</t>
        </is>
      </c>
      <c r="H82" s="5">
        <f>HYPERLINK("https://itrix.uz/product/464", "🔗 Купить продукт")</f>
        <v/>
      </c>
      <c r="I82" t="inlineStr">
        <is>
          <t>4-464-448</t>
        </is>
      </c>
    </row>
    <row r="83" ht="30" customHeight="1">
      <c r="A83" s="4" t="inlineStr">
        <is>
          <t>Коммутаторы</t>
        </is>
      </c>
      <c r="B83" s="4" t="inlineStr">
        <is>
          <t>Управляемый коммутатор уровня 3 SNR-S7550Y-48C</t>
        </is>
      </c>
      <c r="C83" s="5" t="inlineStr"/>
      <c r="D83" s="5" t="n">
        <v>208523840</v>
      </c>
      <c r="E83" s="5" t="n">
        <v>186182000</v>
      </c>
      <c r="F83" s="5" t="inlineStr"/>
      <c r="G83" s="5" t="inlineStr">
        <is>
          <t>SNR</t>
        </is>
      </c>
      <c r="H83" s="5">
        <f>HYPERLINK("https://itrix.uz/product/468", "🔗 Купить продукт")</f>
        <v/>
      </c>
      <c r="I83" t="inlineStr">
        <is>
          <t>4-468-452</t>
        </is>
      </c>
    </row>
    <row r="84" ht="30" customHeight="1">
      <c r="A84" s="4" t="inlineStr">
        <is>
          <t>Коммутаторы</t>
        </is>
      </c>
      <c r="B84" s="4" t="inlineStr">
        <is>
          <t>Управляемый коммутатор H3C S5560S-52S-SI 48G 4x1G/10G SFP+ Switch</t>
        </is>
      </c>
      <c r="C84" s="5" t="inlineStr"/>
      <c r="D84" s="5" t="n">
        <v>8733536</v>
      </c>
      <c r="E84" s="5" t="n">
        <v>7797800</v>
      </c>
      <c r="F84" s="5" t="inlineStr"/>
      <c r="G84" s="5" t="inlineStr">
        <is>
          <t>H3C</t>
        </is>
      </c>
      <c r="H84" s="5">
        <f>HYPERLINK("https://itrix.uz/product/214", "🔗 Купить продукт")</f>
        <v/>
      </c>
      <c r="I84" t="inlineStr">
        <is>
          <t>4-214-216</t>
        </is>
      </c>
    </row>
    <row r="85" ht="30" customHeight="1">
      <c r="A85" s="4" t="inlineStr">
        <is>
          <t>Коммутаторы</t>
        </is>
      </c>
      <c r="B85" s="4" t="inlineStr">
        <is>
          <t>Управляемый коммутатор HPE Aruba 2930F JL256A 48G PoE+ 4SFP+ Switch</t>
        </is>
      </c>
      <c r="C85" s="5" t="inlineStr"/>
      <c r="D85" s="5" t="n">
        <v>38319456</v>
      </c>
      <c r="E85" s="5" t="n">
        <v>34213800</v>
      </c>
      <c r="F85" s="5" t="inlineStr"/>
      <c r="G85" s="5" t="inlineStr">
        <is>
          <t>HPE</t>
        </is>
      </c>
      <c r="H85" s="5">
        <f>HYPERLINK("https://itrix.uz/product/161", "🔗 Купить продукт")</f>
        <v/>
      </c>
      <c r="I85" t="inlineStr">
        <is>
          <t>4-161-165</t>
        </is>
      </c>
    </row>
    <row r="86" ht="30" customHeight="1">
      <c r="A86" s="4" t="inlineStr">
        <is>
          <t>Коммутаторы</t>
        </is>
      </c>
      <c r="B86" s="4" t="inlineStr">
        <is>
          <t>Управляемый POE коммутатор уровня 2 SNR-S2200G-8T-POE</t>
        </is>
      </c>
      <c r="C86" s="5" t="inlineStr"/>
      <c r="D86" s="5" t="n">
        <v>2628026</v>
      </c>
      <c r="E86" s="5" t="n">
        <v>2346452</v>
      </c>
      <c r="F86" s="5" t="inlineStr"/>
      <c r="G86" s="5" t="inlineStr">
        <is>
          <t>SNR</t>
        </is>
      </c>
      <c r="H86" s="5">
        <f>HYPERLINK("https://itrix.uz/product/471", "🔗 Купить продукт")</f>
        <v/>
      </c>
      <c r="I86" t="inlineStr">
        <is>
          <t>4-471-455</t>
        </is>
      </c>
    </row>
    <row r="87" ht="30" customHeight="1">
      <c r="A87" s="4" t="inlineStr">
        <is>
          <t>Коммутаторы</t>
        </is>
      </c>
      <c r="B87" s="4" t="inlineStr">
        <is>
          <t>Управляемый PoE коммутатор уровня 2+ SNR-S5210G-24TX-POE</t>
        </is>
      </c>
      <c r="C87" s="5" t="inlineStr"/>
      <c r="D87" s="5" t="n">
        <v>7192508</v>
      </c>
      <c r="E87" s="5" t="n">
        <v>6421882</v>
      </c>
      <c r="F87" s="5" t="inlineStr"/>
      <c r="G87" s="5" t="inlineStr">
        <is>
          <t>SNR</t>
        </is>
      </c>
      <c r="H87" s="5">
        <f>HYPERLINK("https://itrix.uz/product/475", "🔗 Купить продукт")</f>
        <v/>
      </c>
      <c r="I87" t="inlineStr">
        <is>
          <t>4-475-459</t>
        </is>
      </c>
    </row>
    <row r="88" ht="30" customHeight="1">
      <c r="A88" s="4" t="inlineStr">
        <is>
          <t>Коммутаторы</t>
        </is>
      </c>
      <c r="B88" s="4" t="inlineStr">
        <is>
          <t>Управляемый коммутатор уровня 3 SNR-S2995G-48TX-POE</t>
        </is>
      </c>
      <c r="C88" s="5" t="inlineStr"/>
      <c r="D88" s="5" t="n">
        <v>24674942</v>
      </c>
      <c r="E88" s="5" t="n">
        <v>22031198</v>
      </c>
      <c r="F88" s="5" t="n">
        <v>20589875</v>
      </c>
      <c r="G88" s="5" t="inlineStr">
        <is>
          <t>SNR</t>
        </is>
      </c>
      <c r="H88" s="5">
        <f>HYPERLINK("https://itrix.uz/product/480", "🔗 Купить продукт")</f>
        <v/>
      </c>
      <c r="I88" t="inlineStr">
        <is>
          <t>4-480-464</t>
        </is>
      </c>
    </row>
    <row r="89" ht="30" customHeight="1">
      <c r="A89" s="4" t="inlineStr">
        <is>
          <t>Коммутаторы</t>
        </is>
      </c>
      <c r="B89" s="4" t="inlineStr">
        <is>
          <t>Управляемый PoE коммутатор уровня 2+ SNR-S5310G-48TX-POE</t>
        </is>
      </c>
      <c r="C89" s="5" t="inlineStr"/>
      <c r="D89" s="5" t="n">
        <v>14522704</v>
      </c>
      <c r="E89" s="5" t="n">
        <v>12966700</v>
      </c>
      <c r="F89" s="5" t="inlineStr"/>
      <c r="G89" s="5" t="inlineStr">
        <is>
          <t>SNR</t>
        </is>
      </c>
      <c r="H89" s="5">
        <f>HYPERLINK("https://itrix.uz/product/481", "🔗 Купить продукт")</f>
        <v/>
      </c>
      <c r="I89" t="inlineStr">
        <is>
          <t>4-481-465</t>
        </is>
      </c>
    </row>
    <row r="90" ht="30" customHeight="1">
      <c r="A90" s="4" t="inlineStr">
        <is>
          <t>Коммутаторы</t>
        </is>
      </c>
      <c r="B90" s="4" t="inlineStr">
        <is>
          <t>Коммутатор Zyxel GS-105B V3 5G Switch</t>
        </is>
      </c>
      <c r="C90" s="5" t="inlineStr"/>
      <c r="D90" s="5" t="n">
        <v>583184</v>
      </c>
      <c r="E90" s="5" t="n">
        <v>520700</v>
      </c>
      <c r="F90" s="5" t="inlineStr"/>
      <c r="G90" s="5" t="inlineStr">
        <is>
          <t>Zyxel</t>
        </is>
      </c>
      <c r="H90" s="5">
        <f>HYPERLINK("https://itrix.uz/product/219", "🔗 Купить продукт")</f>
        <v/>
      </c>
      <c r="I90" t="inlineStr">
        <is>
          <t>4-219-221</t>
        </is>
      </c>
    </row>
    <row r="91" ht="30" customHeight="1">
      <c r="A91" s="4" t="inlineStr">
        <is>
          <t>Коммутаторы</t>
        </is>
      </c>
      <c r="B91" s="4" t="inlineStr">
        <is>
          <t>Управляемый PoE коммутатор уровня 2 SNR-S2989G-24TX-POE</t>
        </is>
      </c>
      <c r="C91" s="5" t="inlineStr"/>
      <c r="D91" s="5" t="n">
        <v>9405620</v>
      </c>
      <c r="E91" s="5" t="n">
        <v>8397875</v>
      </c>
      <c r="F91" s="5" t="inlineStr"/>
      <c r="G91" s="5" t="inlineStr">
        <is>
          <t>SNR</t>
        </is>
      </c>
      <c r="H91" s="5">
        <f>HYPERLINK("https://itrix.uz/product/476", "🔗 Купить продукт")</f>
        <v/>
      </c>
      <c r="I91" t="inlineStr">
        <is>
          <t>4-476-460</t>
        </is>
      </c>
    </row>
    <row r="92" ht="30" customHeight="1">
      <c r="A92" s="4" t="inlineStr">
        <is>
          <t>Коммутаторы</t>
        </is>
      </c>
      <c r="B92" s="4" t="inlineStr">
        <is>
          <t>Управляемый PoE коммутатор уровня 2 SNR-S2989G-48TX-POE</t>
        </is>
      </c>
      <c r="C92" s="5" t="inlineStr"/>
      <c r="D92" s="5" t="n">
        <v>17282160</v>
      </c>
      <c r="E92" s="5" t="n">
        <v>15430500</v>
      </c>
      <c r="F92" s="5" t="inlineStr"/>
      <c r="G92" s="5" t="inlineStr">
        <is>
          <t>SNR</t>
        </is>
      </c>
      <c r="H92" s="5">
        <f>HYPERLINK("https://itrix.uz/product/479", "🔗 Купить продукт")</f>
        <v/>
      </c>
      <c r="I92" t="inlineStr">
        <is>
          <t>4-479-463</t>
        </is>
      </c>
    </row>
    <row r="93" ht="30" customHeight="1">
      <c r="A93" s="4" t="inlineStr">
        <is>
          <t>Коммутаторы</t>
        </is>
      </c>
      <c r="B93" s="4" t="inlineStr">
        <is>
          <t>Коммутатор Dell Connectrix B-Series G720</t>
        </is>
      </c>
      <c r="C93" s="5" t="inlineStr"/>
      <c r="D93" s="5" t="n">
        <v>11379200</v>
      </c>
      <c r="E93" s="5" t="n">
        <v>10160000</v>
      </c>
      <c r="F93" s="5" t="inlineStr"/>
      <c r="G93" s="5" t="inlineStr">
        <is>
          <t>Dell</t>
        </is>
      </c>
      <c r="H93" s="5">
        <f>HYPERLINK("https://itrix.uz/product/578", "🔗 Купить продукт")</f>
        <v/>
      </c>
      <c r="I93" t="inlineStr">
        <is>
          <t>4-578-537</t>
        </is>
      </c>
    </row>
    <row r="94" ht="30" customHeight="1">
      <c r="A94" s="4" t="inlineStr">
        <is>
          <t>Коммутаторы</t>
        </is>
      </c>
      <c r="B94" s="4" t="inlineStr">
        <is>
          <t>Управляемый коммутатор HPE Aruba 6100 JL676A 48G 4SFP+ Switch</t>
        </is>
      </c>
      <c r="C94" s="5" t="inlineStr"/>
      <c r="D94" s="5" t="n">
        <v>49869344</v>
      </c>
      <c r="E94" s="5" t="n">
        <v>44526200</v>
      </c>
      <c r="F94" s="5" t="inlineStr"/>
      <c r="G94" s="5" t="inlineStr">
        <is>
          <t>HPE</t>
        </is>
      </c>
      <c r="H94" s="5">
        <f>HYPERLINK("https://itrix.uz/product/163", "🔗 Купить продукт")</f>
        <v/>
      </c>
      <c r="I94" t="inlineStr">
        <is>
          <t>4-163-166</t>
        </is>
      </c>
    </row>
    <row r="95" ht="30" customHeight="1">
      <c r="A95" s="4" t="inlineStr">
        <is>
          <t>Сетевые хранилища NAS и DSS</t>
        </is>
      </c>
      <c r="B95" s="4" t="inlineStr">
        <is>
          <t>Сетевое хранилище NAS Synology DS1621+</t>
        </is>
      </c>
      <c r="C95" s="5" t="inlineStr"/>
      <c r="D95" s="5" t="n">
        <v>18391632</v>
      </c>
      <c r="E95" s="5" t="n">
        <v>16421100</v>
      </c>
      <c r="F95" s="5" t="inlineStr"/>
      <c r="G95" s="5" t="inlineStr">
        <is>
          <t>Synology</t>
        </is>
      </c>
      <c r="H95" s="5">
        <f>HYPERLINK("https://itrix.uz/product/268", "🔗 Купить продукт")</f>
        <v/>
      </c>
      <c r="I95" t="inlineStr">
        <is>
          <t>4-268-270</t>
        </is>
      </c>
    </row>
    <row r="96" ht="30" customHeight="1">
      <c r="A96" s="4" t="inlineStr">
        <is>
          <t>Коммутаторы</t>
        </is>
      </c>
      <c r="B96" s="4" t="inlineStr">
        <is>
          <t xml:space="preserve">Управляемый коммутатор L2+ Ruijie Reyee RG-NBS5100-24GT4SFP </t>
        </is>
      </c>
      <c r="C96" s="5" t="inlineStr"/>
      <c r="D96" s="5" t="n">
        <v>4608576</v>
      </c>
      <c r="E96" s="5" t="n">
        <v>4114800</v>
      </c>
      <c r="F96" s="5" t="inlineStr"/>
      <c r="G96" s="5" t="inlineStr">
        <is>
          <t>Reyee</t>
        </is>
      </c>
      <c r="H96" s="5">
        <f>HYPERLINK("https://itrix.uz/product/492", "🔗 Купить продукт")</f>
        <v/>
      </c>
      <c r="I96" t="inlineStr">
        <is>
          <t>4-492-476</t>
        </is>
      </c>
    </row>
    <row r="97" ht="30" customHeight="1">
      <c r="A97" s="4" t="inlineStr">
        <is>
          <t>Коммутаторы</t>
        </is>
      </c>
      <c r="B97" s="4" t="inlineStr">
        <is>
          <t>Управляемый коммутатор L2+ Ruijie Reyee RG-NBS5200-48GT4XS</t>
        </is>
      </c>
      <c r="C97" s="5" t="inlineStr"/>
      <c r="D97" s="5" t="n">
        <v>9643872</v>
      </c>
      <c r="E97" s="5" t="n">
        <v>8610600</v>
      </c>
      <c r="F97" s="5" t="inlineStr"/>
      <c r="G97" s="5" t="inlineStr">
        <is>
          <t>Reyee</t>
        </is>
      </c>
      <c r="H97" s="5">
        <f>HYPERLINK("https://itrix.uz/product/494", "🔗 Купить продукт")</f>
        <v/>
      </c>
      <c r="I97" t="inlineStr">
        <is>
          <t>4-494-478</t>
        </is>
      </c>
    </row>
    <row r="98" ht="30" customHeight="1">
      <c r="A98" s="4" t="inlineStr">
        <is>
          <t>Коммутаторы</t>
        </is>
      </c>
      <c r="B98" s="4" t="inlineStr">
        <is>
          <t>Управляемый коммутатор H3C L3 S6520X-26C-SI 24x1G/10G SFP+ 1xSlot</t>
        </is>
      </c>
      <c r="C98" s="5" t="inlineStr"/>
      <c r="D98" s="5" t="n">
        <v>22914864</v>
      </c>
      <c r="E98" s="5" t="n">
        <v>20459700</v>
      </c>
      <c r="F98" s="5" t="inlineStr"/>
      <c r="G98" s="5" t="inlineStr">
        <is>
          <t>H3C</t>
        </is>
      </c>
      <c r="H98" s="5">
        <f>HYPERLINK("https://itrix.uz/product/215", "🔗 Купить продукт")</f>
        <v/>
      </c>
      <c r="I98" t="inlineStr">
        <is>
          <t>4-215-217</t>
        </is>
      </c>
    </row>
    <row r="99" ht="30" customHeight="1">
      <c r="A99" s="4" t="inlineStr">
        <is>
          <t>Коммутаторы</t>
        </is>
      </c>
      <c r="B99" s="4" t="inlineStr">
        <is>
          <t>Коммутатор Ubiquiti UniFi Switch Enterprise 8 PoE (USW-Enterprise-8-PoE)</t>
        </is>
      </c>
      <c r="C99" s="5" t="inlineStr"/>
      <c r="D99" s="5" t="n">
        <v>8570671</v>
      </c>
      <c r="E99" s="5" t="n">
        <v>7652385</v>
      </c>
      <c r="F99" s="5" t="n">
        <v>7063740</v>
      </c>
      <c r="G99" s="5" t="inlineStr">
        <is>
          <t>UniFi UBIQUITI</t>
        </is>
      </c>
      <c r="H99" s="5">
        <f>HYPERLINK("https://itrix.uz/product/1425", "🔗 Купить продукт")</f>
        <v/>
      </c>
      <c r="I99" t="inlineStr">
        <is>
          <t>4-1425-1125</t>
        </is>
      </c>
    </row>
    <row r="100" ht="30" customHeight="1">
      <c r="A100" s="4" t="inlineStr">
        <is>
          <t>Коммутаторы</t>
        </is>
      </c>
      <c r="B100" s="4" t="inlineStr">
        <is>
          <t xml:space="preserve">Коммутатор HPE Aruba IOn 1960 JL807A 24G PoE 2XGT 2SFP+ 370W </t>
        </is>
      </c>
      <c r="C100" s="5" t="inlineStr"/>
      <c r="D100" s="5" t="n">
        <v>21023072</v>
      </c>
      <c r="E100" s="5" t="n">
        <v>18770600</v>
      </c>
      <c r="F100" s="5" t="inlineStr"/>
      <c r="G100" s="5" t="inlineStr">
        <is>
          <t>HPE</t>
        </is>
      </c>
      <c r="H100" s="5">
        <f>HYPERLINK("https://itrix.uz/product/166", "🔗 Купить продукт")</f>
        <v/>
      </c>
      <c r="I100" t="inlineStr">
        <is>
          <t>4-166-168</t>
        </is>
      </c>
    </row>
    <row r="101" ht="30" customHeight="1">
      <c r="A101" s="4" t="inlineStr">
        <is>
          <t>Коммутаторы</t>
        </is>
      </c>
      <c r="B101" s="4" t="inlineStr">
        <is>
          <t>Неуправляемый POE коммутатор SNR-S1904GP-2S</t>
        </is>
      </c>
      <c r="C101" s="5" t="inlineStr"/>
      <c r="D101" s="5" t="n">
        <v>1521399</v>
      </c>
      <c r="E101" s="5" t="n">
        <v>1358392</v>
      </c>
      <c r="F101" s="5" t="inlineStr"/>
      <c r="G101" s="5" t="inlineStr">
        <is>
          <t>SNR</t>
        </is>
      </c>
      <c r="H101" s="5">
        <f>HYPERLINK("https://itrix.uz/product/482", "🔗 Купить продукт")</f>
        <v/>
      </c>
      <c r="I101" t="inlineStr">
        <is>
          <t>4-482-466</t>
        </is>
      </c>
    </row>
    <row r="102" ht="30" customHeight="1">
      <c r="A102" s="4" t="inlineStr">
        <is>
          <t>Коммутаторы</t>
        </is>
      </c>
      <c r="B102" s="4" t="inlineStr">
        <is>
          <t xml:space="preserve">Управляемый коммутатор Grandstream GWN7803P </t>
        </is>
      </c>
      <c r="C102" s="5" t="inlineStr"/>
      <c r="D102" s="5" t="n">
        <v>5462016</v>
      </c>
      <c r="E102" s="5" t="n">
        <v>4876800</v>
      </c>
      <c r="F102" s="5" t="inlineStr"/>
      <c r="G102" s="5" t="inlineStr">
        <is>
          <t>Grandstream</t>
        </is>
      </c>
      <c r="H102" s="5">
        <f>HYPERLINK("https://itrix.uz/product/971", "🔗 Купить продукт")</f>
        <v/>
      </c>
      <c r="I102" t="inlineStr">
        <is>
          <t>4-971-860</t>
        </is>
      </c>
    </row>
    <row r="103" ht="30" customHeight="1">
      <c r="A103" s="4" t="inlineStr">
        <is>
          <t>Сетевое оборудование</t>
        </is>
      </c>
      <c r="B103" s="4" t="inlineStr">
        <is>
          <t>Радиомост Ubiquiti LiteBeam 5AC Gen 2 (LBE-5AC-Gen2)</t>
        </is>
      </c>
      <c r="C103" s="5" t="inlineStr"/>
      <c r="D103" s="5" t="n">
        <v>1084580</v>
      </c>
      <c r="E103" s="5" t="n">
        <v>968375</v>
      </c>
      <c r="F103" s="5" t="n">
        <v>893826</v>
      </c>
      <c r="G103" s="5" t="inlineStr">
        <is>
          <t>UniFi UBIQUITI</t>
        </is>
      </c>
      <c r="H103" s="5">
        <f>HYPERLINK("https://itrix.uz/product/1348", "🔗 Купить продукт")</f>
        <v/>
      </c>
      <c r="I103" t="inlineStr">
        <is>
          <t>4-1348-1048</t>
        </is>
      </c>
    </row>
    <row r="104" ht="30" customHeight="1">
      <c r="A104" s="4" t="inlineStr">
        <is>
          <t>Сетевые хранилища NAS и DSS</t>
        </is>
      </c>
      <c r="B104" s="4" t="inlineStr">
        <is>
          <t>Сетевое хранилище NAS Synology DS923+</t>
        </is>
      </c>
      <c r="C104" s="5" t="inlineStr"/>
      <c r="D104" s="5" t="n">
        <v>11165840</v>
      </c>
      <c r="E104" s="5" t="n">
        <v>9969500</v>
      </c>
      <c r="F104" s="5" t="inlineStr"/>
      <c r="G104" s="5" t="inlineStr">
        <is>
          <t>Synology</t>
        </is>
      </c>
      <c r="H104" s="5">
        <f>HYPERLINK("https://itrix.uz/product/266", "🔗 Купить продукт")</f>
        <v/>
      </c>
      <c r="I104" t="inlineStr">
        <is>
          <t>4-266-268</t>
        </is>
      </c>
    </row>
    <row r="105" ht="30" customHeight="1">
      <c r="A105" s="4" t="inlineStr">
        <is>
          <t>Коммутаторы</t>
        </is>
      </c>
      <c r="B105" s="4" t="inlineStr">
        <is>
          <t>Управляемый коммутатор уровня 2 SNR-S2985G-24T-UPS</t>
        </is>
      </c>
      <c r="C105" s="5" t="inlineStr"/>
      <c r="D105" s="5" t="n">
        <v>4011168</v>
      </c>
      <c r="E105" s="5" t="n">
        <v>3581400</v>
      </c>
      <c r="F105" s="5" t="inlineStr"/>
      <c r="G105" s="5" t="inlineStr">
        <is>
          <t>SNR</t>
        </is>
      </c>
      <c r="H105" s="5">
        <f>HYPERLINK("https://itrix.uz/product/429", "🔗 Купить продукт")</f>
        <v/>
      </c>
      <c r="I105" t="inlineStr">
        <is>
          <t>4-429-413</t>
        </is>
      </c>
    </row>
    <row r="106" ht="30" customHeight="1">
      <c r="A106" s="4" t="inlineStr">
        <is>
          <t>Сетевые хранилища NAS и DSS</t>
        </is>
      </c>
      <c r="B106" s="4" t="inlineStr">
        <is>
          <t>Сетевое хранилище NAS Synology DS1019+</t>
        </is>
      </c>
      <c r="C106" s="5" t="inlineStr"/>
      <c r="D106" s="5" t="n">
        <v>13982192</v>
      </c>
      <c r="E106" s="5" t="n">
        <v>12484100</v>
      </c>
      <c r="F106" s="5" t="inlineStr"/>
      <c r="G106" s="5" t="inlineStr">
        <is>
          <t>Synology</t>
        </is>
      </c>
      <c r="H106" s="5">
        <f>HYPERLINK("https://itrix.uz/product/270", "🔗 Купить продукт")</f>
        <v/>
      </c>
      <c r="I106" t="inlineStr">
        <is>
          <t>4-270-272</t>
        </is>
      </c>
    </row>
    <row r="107" ht="30" customHeight="1">
      <c r="A107" s="4" t="inlineStr">
        <is>
          <t>Коммутаторы</t>
        </is>
      </c>
      <c r="B107" s="4" t="inlineStr">
        <is>
          <t>Управляемый коммутатор H3C L3 S6520X-16XT-SI 14x1G/2.5G/5G/10G, 2xSFP+ 1G/10G Switch</t>
        </is>
      </c>
      <c r="C107" s="5" t="inlineStr"/>
      <c r="D107" s="5" t="n">
        <v>21151088</v>
      </c>
      <c r="E107" s="5" t="n">
        <v>18884900</v>
      </c>
      <c r="F107" s="5" t="inlineStr"/>
      <c r="G107" s="5" t="inlineStr">
        <is>
          <t>H3C</t>
        </is>
      </c>
      <c r="H107" s="5">
        <f>HYPERLINK("https://itrix.uz/product/218", "🔗 Купить продукт")</f>
        <v/>
      </c>
      <c r="I107" t="inlineStr">
        <is>
          <t>4-218-220</t>
        </is>
      </c>
    </row>
    <row r="108" ht="30" customHeight="1">
      <c r="A108" s="4" t="inlineStr">
        <is>
          <t>Коммутаторы</t>
        </is>
      </c>
      <c r="B108" s="4" t="inlineStr">
        <is>
          <t>Управляемый коммутатор уровня 2+ SNR-S2990-16X</t>
        </is>
      </c>
      <c r="C108" s="5" t="inlineStr"/>
      <c r="D108" s="5" t="n">
        <v>35222749</v>
      </c>
      <c r="E108" s="5" t="n">
        <v>31448883</v>
      </c>
      <c r="F108" s="5" t="inlineStr"/>
      <c r="G108" s="5" t="inlineStr">
        <is>
          <t>SNR</t>
        </is>
      </c>
      <c r="H108" s="5">
        <f>HYPERLINK("https://itrix.uz/product/436", "🔗 Купить продукт")</f>
        <v/>
      </c>
      <c r="I108" t="inlineStr">
        <is>
          <t>4-436-420</t>
        </is>
      </c>
    </row>
    <row r="109" ht="30" customHeight="1">
      <c r="A109" s="4" t="inlineStr">
        <is>
          <t>Коммутаторы</t>
        </is>
      </c>
      <c r="B109" s="4" t="inlineStr">
        <is>
          <t>Коммутатор HPE Aruba IOn 1930 JL683B 24G 4SFP+ PoE 195W</t>
        </is>
      </c>
      <c r="C109" s="5" t="inlineStr"/>
      <c r="D109" s="5" t="n">
        <v>8577072</v>
      </c>
      <c r="E109" s="5" t="n">
        <v>7658100</v>
      </c>
      <c r="F109" s="5" t="inlineStr"/>
      <c r="G109" s="5" t="inlineStr">
        <is>
          <t>HPE</t>
        </is>
      </c>
      <c r="H109" s="5">
        <f>HYPERLINK("https://itrix.uz/product/171", "🔗 Купить продукт")</f>
        <v/>
      </c>
      <c r="I109" t="inlineStr">
        <is>
          <t>4-171-173</t>
        </is>
      </c>
    </row>
    <row r="110" ht="30" customHeight="1">
      <c r="A110" s="4" t="inlineStr">
        <is>
          <t>Коммутаторы</t>
        </is>
      </c>
      <c r="B110" s="4" t="inlineStr">
        <is>
          <t>Управляемый коммутатор H3C L2 S5170-28S-EI 24G+PoE+4SFP Switch</t>
        </is>
      </c>
      <c r="C110" s="5" t="inlineStr"/>
      <c r="D110" s="5" t="n">
        <v>6557264</v>
      </c>
      <c r="E110" s="5" t="n">
        <v>5854700</v>
      </c>
      <c r="F110" s="5" t="inlineStr"/>
      <c r="G110" s="5" t="inlineStr">
        <is>
          <t>H3C</t>
        </is>
      </c>
      <c r="H110" s="5">
        <f>HYPERLINK("https://itrix.uz/product/217", "🔗 Купить продукт")</f>
        <v/>
      </c>
      <c r="I110" t="inlineStr">
        <is>
          <t>4-217-219</t>
        </is>
      </c>
    </row>
    <row r="111" ht="30" customHeight="1">
      <c r="A111" s="4" t="inlineStr">
        <is>
          <t>Коммутаторы</t>
        </is>
      </c>
      <c r="B111" s="4" t="inlineStr">
        <is>
          <t>Комплект коммутаторов Ubiquiti UniFi Switch Flex Mini 5-pack USW-Flex-Mini-5</t>
        </is>
      </c>
      <c r="C111" s="5" t="inlineStr"/>
      <c r="D111" s="5" t="n">
        <v>3371088</v>
      </c>
      <c r="E111" s="5" t="n">
        <v>3009900</v>
      </c>
      <c r="F111" s="5" t="inlineStr"/>
      <c r="G111" s="5" t="inlineStr">
        <is>
          <t>UniFi UBIQUITI</t>
        </is>
      </c>
      <c r="H111" s="5">
        <f>HYPERLINK("https://itrix.uz/product/192", "🔗 Купить продукт")</f>
        <v/>
      </c>
      <c r="I111" t="inlineStr">
        <is>
          <t>4-192-194</t>
        </is>
      </c>
    </row>
    <row r="112" ht="30" customHeight="1">
      <c r="A112" s="4" t="inlineStr">
        <is>
          <t>Коммутаторы</t>
        </is>
      </c>
      <c r="B112" s="4" t="inlineStr">
        <is>
          <t>Управляемый коммутатор Ubiquiti UniFi Switch 16 PoE USW-16-POE-EU</t>
        </is>
      </c>
      <c r="C112" s="5" t="inlineStr"/>
      <c r="D112" s="5" t="n">
        <v>6118311</v>
      </c>
      <c r="E112" s="5" t="n">
        <v>5462778</v>
      </c>
      <c r="F112" s="5" t="n">
        <v>5105400</v>
      </c>
      <c r="G112" s="5" t="inlineStr">
        <is>
          <t>UniFi UBIQUITI</t>
        </is>
      </c>
      <c r="H112" s="5">
        <f>HYPERLINK("https://itrix.uz/product/185", "🔗 Купить продукт")</f>
        <v/>
      </c>
      <c r="I112" t="inlineStr">
        <is>
          <t>4-185-187</t>
        </is>
      </c>
    </row>
    <row r="113" ht="30" customHeight="1">
      <c r="A113" s="4" t="inlineStr">
        <is>
          <t>Коммутаторы</t>
        </is>
      </c>
      <c r="B113" s="4" t="inlineStr">
        <is>
          <t>Управляемый коммутатор Ubiquiti UniFi Switch 24 POE USW-24-POE-EU</t>
        </is>
      </c>
      <c r="C113" s="5" t="inlineStr"/>
      <c r="D113" s="5" t="n">
        <v>7725481</v>
      </c>
      <c r="E113" s="5" t="n">
        <v>6897751</v>
      </c>
      <c r="F113" s="5" t="n">
        <v>6446520</v>
      </c>
      <c r="G113" s="5" t="inlineStr">
        <is>
          <t>UniFi UBIQUITI</t>
        </is>
      </c>
      <c r="H113" s="5">
        <f>HYPERLINK("https://itrix.uz/product/186", "🔗 Купить продукт")</f>
        <v/>
      </c>
      <c r="I113" t="inlineStr">
        <is>
          <t>4-186-188</t>
        </is>
      </c>
    </row>
    <row r="114" ht="30" customHeight="1">
      <c r="A114" s="4" t="inlineStr">
        <is>
          <t>Коммутаторы</t>
        </is>
      </c>
      <c r="B114" s="4" t="inlineStr">
        <is>
          <t>Управляемый коммутатор уровня L2+ Ruijie Reyee RG-NBS3100-8GT2SFP</t>
        </is>
      </c>
      <c r="C114" s="5" t="inlineStr"/>
      <c r="D114" s="5" t="n">
        <v>2034032</v>
      </c>
      <c r="E114" s="5" t="n">
        <v>1816100</v>
      </c>
      <c r="F114" s="5" t="inlineStr"/>
      <c r="G114" s="5" t="inlineStr">
        <is>
          <t>Reyee</t>
        </is>
      </c>
      <c r="H114" s="5">
        <f>HYPERLINK("https://itrix.uz/product/488", "🔗 Купить продукт")</f>
        <v/>
      </c>
      <c r="I114" t="inlineStr">
        <is>
          <t>4-488-472</t>
        </is>
      </c>
    </row>
    <row r="115" ht="30" customHeight="1">
      <c r="A115" s="4" t="inlineStr">
        <is>
          <t>Коммутаторы</t>
        </is>
      </c>
      <c r="B115" s="4" t="inlineStr">
        <is>
          <t>Управляемый коммутатор H3C L2 S5170-54S-EI 48G+6SPF Switch</t>
        </is>
      </c>
      <c r="C115" s="5" t="inlineStr"/>
      <c r="D115" s="5" t="n">
        <v>9387840</v>
      </c>
      <c r="E115" s="5" t="n">
        <v>8382000</v>
      </c>
      <c r="F115" s="5" t="inlineStr"/>
      <c r="G115" s="5" t="inlineStr">
        <is>
          <t>H3C</t>
        </is>
      </c>
      <c r="H115" s="5">
        <f>HYPERLINK("https://itrix.uz/product/212", "🔗 Купить продукт")</f>
        <v/>
      </c>
      <c r="I115" t="inlineStr">
        <is>
          <t>4-212-214</t>
        </is>
      </c>
    </row>
    <row r="116" ht="30" customHeight="1">
      <c r="A116" s="4" t="inlineStr">
        <is>
          <t>Коммутаторы</t>
        </is>
      </c>
      <c r="B116" s="4" t="inlineStr">
        <is>
          <t>Коммутатор H3C S5120V3-28P-LI L3 24G+4SFP Switch</t>
        </is>
      </c>
      <c r="C116" s="5" t="inlineStr"/>
      <c r="D116" s="5" t="n">
        <v>4679696</v>
      </c>
      <c r="E116" s="5" t="n">
        <v>4178300</v>
      </c>
      <c r="F116" s="5" t="inlineStr"/>
      <c r="G116" s="5" t="inlineStr">
        <is>
          <t>H3C</t>
        </is>
      </c>
      <c r="H116" s="5">
        <f>HYPERLINK("https://itrix.uz/product/208", "🔗 Купить продукт")</f>
        <v/>
      </c>
      <c r="I116" t="inlineStr">
        <is>
          <t>4-208-210</t>
        </is>
      </c>
    </row>
    <row r="117" ht="30" customHeight="1">
      <c r="A117" s="4" t="inlineStr">
        <is>
          <t>Коммутаторы</t>
        </is>
      </c>
      <c r="B117" s="4" t="inlineStr">
        <is>
          <t>Управляемый коммутатор уровня 2+ SNR-S5310G-48TX-2AC</t>
        </is>
      </c>
      <c r="C117" s="5" t="inlineStr"/>
      <c r="D117" s="5" t="n">
        <v>8077525</v>
      </c>
      <c r="E117" s="5" t="n">
        <v>7212076</v>
      </c>
      <c r="F117" s="5" t="inlineStr"/>
      <c r="G117" s="5" t="inlineStr">
        <is>
          <t>SNR</t>
        </is>
      </c>
      <c r="H117" s="5">
        <f>HYPERLINK("https://itrix.uz/product/444", "🔗 Купить продукт")</f>
        <v/>
      </c>
      <c r="I117" t="inlineStr">
        <is>
          <t>4-444-428</t>
        </is>
      </c>
    </row>
    <row r="118" ht="30" customHeight="1">
      <c r="A118" s="4" t="inlineStr">
        <is>
          <t>Коммутаторы</t>
        </is>
      </c>
      <c r="B118" s="4" t="inlineStr">
        <is>
          <t>Управляемый PoE коммутатор H3C L2 S5170-54S-PWR-EI 48G+PoE+6SPF Switch</t>
        </is>
      </c>
      <c r="C118" s="5" t="inlineStr"/>
      <c r="D118" s="5" t="n">
        <v>13484352</v>
      </c>
      <c r="E118" s="5" t="n">
        <v>12039600</v>
      </c>
      <c r="F118" s="5" t="inlineStr"/>
      <c r="G118" s="5" t="inlineStr">
        <is>
          <t>H3C</t>
        </is>
      </c>
      <c r="H118" s="5">
        <f>HYPERLINK("https://itrix.uz/product/213", "🔗 Купить продукт")</f>
        <v/>
      </c>
      <c r="I118" t="inlineStr">
        <is>
          <t>4-213-215</t>
        </is>
      </c>
    </row>
    <row r="119" ht="30" customHeight="1">
      <c r="A119" s="4" t="inlineStr">
        <is>
          <t>Коммутаторы</t>
        </is>
      </c>
      <c r="B119" s="4" t="inlineStr">
        <is>
          <t>Управляемый коммутатор L2+ Ruijie Reyee RG-NBS3200-24GT4XS</t>
        </is>
      </c>
      <c r="C119" s="5" t="inlineStr"/>
      <c r="D119" s="5" t="n">
        <v>11663680</v>
      </c>
      <c r="E119" s="5" t="n">
        <v>10414000</v>
      </c>
      <c r="F119" s="5" t="inlineStr"/>
      <c r="G119" s="5" t="inlineStr">
        <is>
          <t>Reyee</t>
        </is>
      </c>
      <c r="H119" s="5">
        <f>HYPERLINK("https://itrix.uz/product/489", "🔗 Купить продукт")</f>
        <v/>
      </c>
      <c r="I119" t="inlineStr">
        <is>
          <t>4-489-473</t>
        </is>
      </c>
    </row>
    <row r="120" ht="30" customHeight="1">
      <c r="A120" s="4" t="inlineStr">
        <is>
          <t>Коммутаторы</t>
        </is>
      </c>
      <c r="B120" s="4" t="inlineStr">
        <is>
          <t>Управляемый PoE-коммутатор L2+ Ruijie Reyee RG-NBS5100-24GT4SFP-P</t>
        </is>
      </c>
      <c r="C120" s="5" t="inlineStr"/>
      <c r="D120" s="5" t="n">
        <v>9458960</v>
      </c>
      <c r="E120" s="5" t="n">
        <v>8445500</v>
      </c>
      <c r="F120" s="5" t="inlineStr"/>
      <c r="G120" s="5" t="inlineStr">
        <is>
          <t>Reyee</t>
        </is>
      </c>
      <c r="H120" s="5">
        <f>HYPERLINK("https://itrix.uz/product/493", "🔗 Купить продукт")</f>
        <v/>
      </c>
      <c r="I120" t="inlineStr">
        <is>
          <t>4-493-477</t>
        </is>
      </c>
    </row>
    <row r="121" ht="30" customHeight="1">
      <c r="A121" s="4" t="inlineStr">
        <is>
          <t>Коммутаторы</t>
        </is>
      </c>
      <c r="B121" s="4" t="inlineStr">
        <is>
          <t>Управляемый коммутатор Grandstream GWN7806</t>
        </is>
      </c>
      <c r="C121" s="5" t="inlineStr"/>
      <c r="D121" s="5" t="n">
        <v>7168896</v>
      </c>
      <c r="E121" s="5" t="n">
        <v>6400800</v>
      </c>
      <c r="F121" s="5" t="inlineStr"/>
      <c r="G121" s="5" t="inlineStr">
        <is>
          <t>Grandstream</t>
        </is>
      </c>
      <c r="H121" s="5">
        <f>HYPERLINK("https://itrix.uz/product/972", "🔗 Купить продукт")</f>
        <v/>
      </c>
      <c r="I121" t="inlineStr">
        <is>
          <t>4-972-861</t>
        </is>
      </c>
    </row>
    <row r="122" ht="30" customHeight="1">
      <c r="A122" s="4" t="inlineStr">
        <is>
          <t>Сетевые хранилища NAS и DSS</t>
        </is>
      </c>
      <c r="B122" s="4" t="inlineStr">
        <is>
          <t>Сетевое хранилище NAS Synology DS1520+</t>
        </is>
      </c>
      <c r="C122" s="5" t="inlineStr"/>
      <c r="D122" s="5" t="n">
        <v>11222736</v>
      </c>
      <c r="E122" s="5" t="n">
        <v>10020300</v>
      </c>
      <c r="F122" s="5" t="inlineStr"/>
      <c r="G122" s="5" t="inlineStr">
        <is>
          <t>Synology</t>
        </is>
      </c>
      <c r="H122" s="5">
        <f>HYPERLINK("https://itrix.uz/product/271", "🔗 Купить продукт")</f>
        <v/>
      </c>
      <c r="I122" t="inlineStr">
        <is>
          <t>4-271-273</t>
        </is>
      </c>
    </row>
    <row r="123" ht="30" customHeight="1">
      <c r="A123" s="4" t="inlineStr">
        <is>
          <t>Коммутаторы</t>
        </is>
      </c>
      <c r="B123" s="4" t="inlineStr">
        <is>
          <t>Управляемый коммутатор уровня 2 SNR-S2962-24T-UPS</t>
        </is>
      </c>
      <c r="C123" s="5" t="inlineStr"/>
      <c r="D123" s="5" t="n">
        <v>2558755</v>
      </c>
      <c r="E123" s="5" t="n">
        <v>2284603</v>
      </c>
      <c r="F123" s="5" t="inlineStr"/>
      <c r="G123" s="5" t="inlineStr">
        <is>
          <t>SNR</t>
        </is>
      </c>
      <c r="H123" s="5">
        <f>HYPERLINK("https://itrix.uz/product/421", "🔗 Купить продукт")</f>
        <v/>
      </c>
      <c r="I123" t="inlineStr">
        <is>
          <t>4-421-405</t>
        </is>
      </c>
    </row>
    <row r="124" ht="30" customHeight="1">
      <c r="A124" s="4" t="inlineStr">
        <is>
          <t>Коммутаторы</t>
        </is>
      </c>
      <c r="B124" s="4" t="inlineStr">
        <is>
          <t>Коммутатор HPE Aruba IOn 1960 JL806A 24G 2XGT 2SFP+</t>
        </is>
      </c>
      <c r="C124" s="5" t="inlineStr"/>
      <c r="D124" s="5" t="n">
        <v>12332208</v>
      </c>
      <c r="E124" s="5" t="n">
        <v>11010900</v>
      </c>
      <c r="F124" s="5" t="inlineStr"/>
      <c r="G124" s="5" t="inlineStr">
        <is>
          <t>HPE</t>
        </is>
      </c>
      <c r="H124" s="5">
        <f>HYPERLINK("https://itrix.uz/product/165", "🔗 Купить продукт")</f>
        <v/>
      </c>
      <c r="I124" t="inlineStr">
        <is>
          <t>4-165-167</t>
        </is>
      </c>
    </row>
    <row r="125" ht="30" customHeight="1">
      <c r="A125" s="4" t="inlineStr">
        <is>
          <t>Коммутаторы</t>
        </is>
      </c>
      <c r="B125" s="4" t="inlineStr">
        <is>
          <t>Управляемый коммутатор уровня 2 SNR-S2982G-24TE-DC</t>
        </is>
      </c>
      <c r="C125" s="5" t="inlineStr"/>
      <c r="D125" s="5" t="n">
        <v>3734796</v>
      </c>
      <c r="E125" s="5" t="n">
        <v>3334639</v>
      </c>
      <c r="F125" s="5" t="inlineStr"/>
      <c r="G125" s="5" t="inlineStr">
        <is>
          <t>SNR</t>
        </is>
      </c>
      <c r="H125" s="5">
        <f>HYPERLINK("https://itrix.uz/product/427", "🔗 Купить продукт")</f>
        <v/>
      </c>
      <c r="I125" t="inlineStr">
        <is>
          <t>4-427-411</t>
        </is>
      </c>
    </row>
    <row r="126" ht="30" customHeight="1">
      <c r="A126" s="4" t="inlineStr">
        <is>
          <t>Коммутаторы</t>
        </is>
      </c>
      <c r="B126" s="4" t="inlineStr">
        <is>
          <t>Управляемый коммутатор уровня 2+ SNR-S5210G-24TX</t>
        </is>
      </c>
      <c r="C126" s="5" t="inlineStr"/>
      <c r="D126" s="5" t="n">
        <v>3872911</v>
      </c>
      <c r="E126" s="5" t="n">
        <v>3457956</v>
      </c>
      <c r="F126" s="5" t="inlineStr"/>
      <c r="G126" s="5" t="inlineStr">
        <is>
          <t>SNR</t>
        </is>
      </c>
      <c r="H126" s="5">
        <f>HYPERLINK("https://itrix.uz/product/431", "🔗 Купить продукт")</f>
        <v/>
      </c>
      <c r="I126" t="inlineStr">
        <is>
          <t>4-431-415</t>
        </is>
      </c>
    </row>
    <row r="127" ht="30" customHeight="1">
      <c r="A127" s="4" t="inlineStr">
        <is>
          <t>Коммутаторы</t>
        </is>
      </c>
      <c r="B127" s="4" t="inlineStr">
        <is>
          <t>Управляемый коммутатор уровня 2 SNR-S2989G-48TX</t>
        </is>
      </c>
      <c r="C127" s="5" t="inlineStr"/>
      <c r="D127" s="5" t="n">
        <v>7268464</v>
      </c>
      <c r="E127" s="5" t="n">
        <v>6489700</v>
      </c>
      <c r="F127" s="5" t="inlineStr"/>
      <c r="G127" s="5" t="inlineStr">
        <is>
          <t>SNR</t>
        </is>
      </c>
      <c r="H127" s="5">
        <f>HYPERLINK("https://itrix.uz/product/433", "🔗 Купить продукт")</f>
        <v/>
      </c>
      <c r="I127" t="inlineStr">
        <is>
          <t>4-433-417</t>
        </is>
      </c>
    </row>
    <row r="128" ht="30" customHeight="1">
      <c r="A128" s="4" t="inlineStr">
        <is>
          <t>Коммутаторы</t>
        </is>
      </c>
      <c r="B128" s="4" t="inlineStr">
        <is>
          <t>Управляемый коммутатор HPE Aruba 2930F JL261A 24G PoE + 4SFP Switch</t>
        </is>
      </c>
      <c r="C128" s="5" t="inlineStr"/>
      <c r="D128" s="5" t="n">
        <v>16158464</v>
      </c>
      <c r="E128" s="5" t="n">
        <v>14427200</v>
      </c>
      <c r="F128" s="5" t="inlineStr"/>
      <c r="G128" s="5" t="inlineStr">
        <is>
          <t>HPE</t>
        </is>
      </c>
      <c r="H128" s="5">
        <f>HYPERLINK("https://itrix.uz/product/160", "🔗 Купить продукт")</f>
        <v/>
      </c>
      <c r="I128" t="inlineStr">
        <is>
          <t>4-160-10</t>
        </is>
      </c>
    </row>
    <row r="129" ht="30" customHeight="1">
      <c r="A129" s="4" t="inlineStr">
        <is>
          <t>Коммутаторы</t>
        </is>
      </c>
      <c r="B129" s="4" t="inlineStr">
        <is>
          <t>Управляемый коммутатор уровня 2+ SNR-S5210G-8TX</t>
        </is>
      </c>
      <c r="C129" s="5" t="inlineStr"/>
      <c r="D129" s="5" t="n">
        <v>2628026</v>
      </c>
      <c r="E129" s="5" t="n">
        <v>2346452</v>
      </c>
      <c r="F129" s="5" t="inlineStr"/>
      <c r="G129" s="5" t="inlineStr">
        <is>
          <t>SNR</t>
        </is>
      </c>
      <c r="H129" s="5">
        <f>HYPERLINK("https://itrix.uz/product/439", "🔗 Купить продукт")</f>
        <v/>
      </c>
      <c r="I129" t="inlineStr">
        <is>
          <t>4-439-423</t>
        </is>
      </c>
    </row>
    <row r="130" ht="30" customHeight="1">
      <c r="A130" s="4" t="inlineStr">
        <is>
          <t>Коммутаторы</t>
        </is>
      </c>
      <c r="B130" s="4" t="inlineStr">
        <is>
          <t>Управляемый коммутатор уровня 2+ SNR-S5210X-8F</t>
        </is>
      </c>
      <c r="C130" s="5" t="inlineStr"/>
      <c r="D130" s="5" t="n">
        <v>3596254</v>
      </c>
      <c r="E130" s="5" t="n">
        <v>3210941</v>
      </c>
      <c r="F130" s="5" t="inlineStr"/>
      <c r="G130" s="5" t="inlineStr">
        <is>
          <t>SNR</t>
        </is>
      </c>
      <c r="H130" s="5">
        <f>HYPERLINK("https://itrix.uz/product/440", "🔗 Купить продукт")</f>
        <v/>
      </c>
      <c r="I130" t="inlineStr">
        <is>
          <t>4-440-424</t>
        </is>
      </c>
    </row>
    <row r="131" ht="30" customHeight="1">
      <c r="A131" s="4" t="inlineStr">
        <is>
          <t>Коммутаторы</t>
        </is>
      </c>
      <c r="B131" s="4" t="inlineStr">
        <is>
          <t>Управляемый коммутатор уровня 2+ SNR-S5310G-48TX</t>
        </is>
      </c>
      <c r="C131" s="5" t="inlineStr"/>
      <c r="D131" s="5" t="n">
        <v>6912864</v>
      </c>
      <c r="E131" s="5" t="n">
        <v>6172200</v>
      </c>
      <c r="F131" s="5" t="inlineStr"/>
      <c r="G131" s="5" t="inlineStr">
        <is>
          <t>SNR</t>
        </is>
      </c>
      <c r="H131" s="5">
        <f>HYPERLINK("https://itrix.uz/product/442", "🔗 Купить продукт")</f>
        <v/>
      </c>
      <c r="I131" t="inlineStr">
        <is>
          <t>4-442-426</t>
        </is>
      </c>
    </row>
    <row r="132" ht="30" customHeight="1">
      <c r="A132" s="4" t="inlineStr">
        <is>
          <t>Коммутаторы</t>
        </is>
      </c>
      <c r="B132" s="4" t="inlineStr">
        <is>
          <t>Управляемый коммутатор уровня 2+ SNR-S5210G-24TX-UPS</t>
        </is>
      </c>
      <c r="C132" s="5" t="inlineStr"/>
      <c r="D132" s="5" t="n">
        <v>4426082</v>
      </c>
      <c r="E132" s="5" t="n">
        <v>3951859</v>
      </c>
      <c r="F132" s="5" t="inlineStr"/>
      <c r="G132" s="5" t="inlineStr">
        <is>
          <t>SNR</t>
        </is>
      </c>
      <c r="H132" s="5">
        <f>HYPERLINK("https://itrix.uz/product/448", "🔗 Купить продукт")</f>
        <v/>
      </c>
      <c r="I132" t="inlineStr">
        <is>
          <t>4-448-432</t>
        </is>
      </c>
    </row>
    <row r="133" ht="30" customHeight="1">
      <c r="A133" s="4" t="inlineStr">
        <is>
          <t>Коммутаторы</t>
        </is>
      </c>
      <c r="B133" s="4" t="inlineStr">
        <is>
          <t>Управляемый коммутатор уровня 2+ SNR-S5210G-24FX</t>
        </is>
      </c>
      <c r="C133" s="5" t="inlineStr"/>
      <c r="D133" s="5" t="n">
        <v>5945632</v>
      </c>
      <c r="E133" s="5" t="n">
        <v>5308600</v>
      </c>
      <c r="F133" s="5" t="inlineStr"/>
      <c r="G133" s="5" t="inlineStr">
        <is>
          <t>SNR</t>
        </is>
      </c>
      <c r="H133" s="5">
        <f>HYPERLINK("https://itrix.uz/product/449", "🔗 Купить продукт")</f>
        <v/>
      </c>
      <c r="I133" t="inlineStr">
        <is>
          <t>4-449-433</t>
        </is>
      </c>
    </row>
    <row r="134" ht="30" customHeight="1">
      <c r="A134" s="4" t="inlineStr">
        <is>
          <t>Коммутаторы</t>
        </is>
      </c>
      <c r="B134" s="4" t="inlineStr">
        <is>
          <t>Неуправляемый POE коммутатор SNR-S1908GP-2S</t>
        </is>
      </c>
      <c r="C134" s="5" t="inlineStr"/>
      <c r="D134" s="5" t="n">
        <v>1798056</v>
      </c>
      <c r="E134" s="5" t="n">
        <v>1605407</v>
      </c>
      <c r="F134" s="5" t="inlineStr"/>
      <c r="G134" s="5" t="inlineStr">
        <is>
          <t>SNR</t>
        </is>
      </c>
      <c r="H134" s="5">
        <f>HYPERLINK("https://itrix.uz/product/483", "🔗 Купить продукт")</f>
        <v/>
      </c>
      <c r="I134" t="inlineStr">
        <is>
          <t>4-483-467</t>
        </is>
      </c>
    </row>
    <row r="135" ht="30" customHeight="1">
      <c r="A135" s="4" t="inlineStr">
        <is>
          <t>Коммутаторы</t>
        </is>
      </c>
      <c r="B135" s="4" t="inlineStr">
        <is>
          <t>Управляемый коммутатор уровня 3 SNR-S2995G-24TX-RPS</t>
        </is>
      </c>
      <c r="C135" s="5" t="inlineStr"/>
      <c r="D135" s="5" t="n">
        <v>8249920</v>
      </c>
      <c r="E135" s="5" t="n">
        <v>7366000</v>
      </c>
      <c r="F135" s="5" t="inlineStr"/>
      <c r="G135" s="5" t="inlineStr">
        <is>
          <t>SNR</t>
        </is>
      </c>
      <c r="H135" s="5">
        <f>HYPERLINK("https://itrix.uz/product/451", "🔗 Купить продукт")</f>
        <v/>
      </c>
      <c r="I135" t="inlineStr">
        <is>
          <t>4-451-435</t>
        </is>
      </c>
    </row>
    <row r="136" ht="30" customHeight="1">
      <c r="A136" s="4" t="inlineStr">
        <is>
          <t>Коммутаторы</t>
        </is>
      </c>
      <c r="B136" s="4" t="inlineStr">
        <is>
          <t>Управляемый коммутатор уровня 3 SNR-S3850G-48TX</t>
        </is>
      </c>
      <c r="C136" s="5" t="inlineStr"/>
      <c r="D136" s="5" t="n">
        <v>22189440</v>
      </c>
      <c r="E136" s="5" t="n">
        <v>19812000</v>
      </c>
      <c r="F136" s="5" t="inlineStr"/>
      <c r="G136" s="5" t="inlineStr">
        <is>
          <t>SNR</t>
        </is>
      </c>
      <c r="H136" s="5">
        <f>HYPERLINK("https://itrix.uz/product/454", "🔗 Купить продукт")</f>
        <v/>
      </c>
      <c r="I136" t="inlineStr">
        <is>
          <t>4-454-438</t>
        </is>
      </c>
    </row>
    <row r="137" ht="30" customHeight="1">
      <c r="A137" s="4" t="inlineStr">
        <is>
          <t>Коммутаторы</t>
        </is>
      </c>
      <c r="B137" s="4" t="inlineStr">
        <is>
          <t>Управляемый коммутатор уровня 3 SNR-S4350X-48FC</t>
        </is>
      </c>
      <c r="C137" s="5" t="inlineStr"/>
      <c r="D137" s="5" t="n">
        <v>117348000</v>
      </c>
      <c r="E137" s="5" t="n">
        <v>104775000</v>
      </c>
      <c r="F137" s="5" t="inlineStr"/>
      <c r="G137" s="5" t="inlineStr">
        <is>
          <t>SNR</t>
        </is>
      </c>
      <c r="H137" s="5">
        <f>HYPERLINK("https://itrix.uz/product/455", "🔗 Купить продукт")</f>
        <v/>
      </c>
      <c r="I137" t="inlineStr">
        <is>
          <t>4-455-439</t>
        </is>
      </c>
    </row>
    <row r="138" ht="30" customHeight="1">
      <c r="A138" s="4" t="inlineStr">
        <is>
          <t>Коммутаторы</t>
        </is>
      </c>
      <c r="B138" s="4" t="inlineStr">
        <is>
          <t>Управляемый коммутатор уровня 3 SNR-S2995G-48TX</t>
        </is>
      </c>
      <c r="C138" s="5" t="inlineStr"/>
      <c r="D138" s="5" t="n">
        <v>18036032</v>
      </c>
      <c r="E138" s="5" t="n">
        <v>16103600</v>
      </c>
      <c r="F138" s="5" t="inlineStr"/>
      <c r="G138" s="5" t="inlineStr">
        <is>
          <t>SNR</t>
        </is>
      </c>
      <c r="H138" s="5">
        <f>HYPERLINK("https://itrix.uz/product/457", "🔗 Купить продукт")</f>
        <v/>
      </c>
      <c r="I138" t="inlineStr">
        <is>
          <t>4-457-441</t>
        </is>
      </c>
    </row>
    <row r="139" ht="30" customHeight="1">
      <c r="A139" s="4" t="inlineStr">
        <is>
          <t>Коммутаторы</t>
        </is>
      </c>
      <c r="B139" s="4" t="inlineStr">
        <is>
          <t>Управляемый коммутатор уровня 3 SNR-S2995G-48TX-RPS</t>
        </is>
      </c>
      <c r="C139" s="5" t="inlineStr"/>
      <c r="D139" s="5" t="n">
        <v>10781792</v>
      </c>
      <c r="E139" s="5" t="n">
        <v>9626600</v>
      </c>
      <c r="F139" s="5" t="inlineStr"/>
      <c r="G139" s="5" t="inlineStr">
        <is>
          <t>SNR</t>
        </is>
      </c>
      <c r="H139" s="5">
        <f>HYPERLINK("https://itrix.uz/product/458", "🔗 Купить продукт")</f>
        <v/>
      </c>
      <c r="I139" t="inlineStr">
        <is>
          <t>4-458-442</t>
        </is>
      </c>
    </row>
    <row r="140" ht="30" customHeight="1">
      <c r="A140" s="4" t="inlineStr">
        <is>
          <t>Коммутаторы</t>
        </is>
      </c>
      <c r="B140" s="4" t="inlineStr">
        <is>
          <t>Управляемый коммутатор уровня 3 SNR-S300G-24FX без блоков питания</t>
        </is>
      </c>
      <c r="C140" s="5" t="inlineStr"/>
      <c r="D140" s="5" t="n">
        <v>37110416</v>
      </c>
      <c r="E140" s="5" t="n">
        <v>33134300</v>
      </c>
      <c r="F140" s="5" t="inlineStr"/>
      <c r="G140" s="5" t="inlineStr">
        <is>
          <t>SNR</t>
        </is>
      </c>
      <c r="H140" s="5">
        <f>HYPERLINK("https://itrix.uz/product/459", "🔗 Купить продукт")</f>
        <v/>
      </c>
      <c r="I140" t="inlineStr">
        <is>
          <t>4-459-443</t>
        </is>
      </c>
    </row>
    <row r="141" ht="30" customHeight="1">
      <c r="A141" s="4" t="inlineStr">
        <is>
          <t>Коммутаторы</t>
        </is>
      </c>
      <c r="B141" s="4" t="inlineStr">
        <is>
          <t>Управляемый коммутатор уровня 3 SNR-S4650X-48FQ</t>
        </is>
      </c>
      <c r="C141" s="5" t="inlineStr"/>
      <c r="D141" s="5" t="n">
        <v>152908000</v>
      </c>
      <c r="E141" s="5" t="n">
        <v>136525000</v>
      </c>
      <c r="F141" s="5" t="inlineStr"/>
      <c r="G141" s="5" t="inlineStr">
        <is>
          <t>SNR</t>
        </is>
      </c>
      <c r="H141" s="5">
        <f>HYPERLINK("https://itrix.uz/product/462", "🔗 Купить продукт")</f>
        <v/>
      </c>
      <c r="I141" t="inlineStr">
        <is>
          <t>4-462-446</t>
        </is>
      </c>
    </row>
    <row r="142" ht="30" customHeight="1">
      <c r="A142" s="4" t="inlineStr">
        <is>
          <t>Коммутаторы</t>
        </is>
      </c>
      <c r="B142" s="4" t="inlineStr">
        <is>
          <t>Управляемый коммутатор уровня 3 SNR-S300X-24FQ</t>
        </is>
      </c>
      <c r="C142" s="5" t="inlineStr"/>
      <c r="D142" s="5" t="n">
        <v>62941200</v>
      </c>
      <c r="E142" s="5" t="n">
        <v>56197500</v>
      </c>
      <c r="F142" s="5" t="inlineStr"/>
      <c r="G142" s="5" t="inlineStr">
        <is>
          <t>SNR</t>
        </is>
      </c>
      <c r="H142" s="5">
        <f>HYPERLINK("https://itrix.uz/product/465", "🔗 Купить продукт")</f>
        <v/>
      </c>
      <c r="I142" t="inlineStr">
        <is>
          <t>4-465-449</t>
        </is>
      </c>
    </row>
    <row r="143" ht="30" customHeight="1">
      <c r="A143" s="4" t="inlineStr">
        <is>
          <t>Коммутаторы</t>
        </is>
      </c>
      <c r="B143" s="4" t="inlineStr">
        <is>
          <t>Управляемый коммутатор уровня 3 SNR-S400X-24FC-2AC</t>
        </is>
      </c>
      <c r="C143" s="5" t="inlineStr"/>
      <c r="D143" s="5" t="n">
        <v>40040560</v>
      </c>
      <c r="E143" s="5" t="n">
        <v>35750500</v>
      </c>
      <c r="F143" s="5" t="inlineStr"/>
      <c r="G143" s="5" t="inlineStr">
        <is>
          <t>SNR</t>
        </is>
      </c>
      <c r="H143" s="5">
        <f>HYPERLINK("https://itrix.uz/product/467", "🔗 Купить продукт")</f>
        <v/>
      </c>
      <c r="I143" t="inlineStr">
        <is>
          <t>4-467-451</t>
        </is>
      </c>
    </row>
    <row r="144" ht="30" customHeight="1">
      <c r="A144" s="4" t="inlineStr">
        <is>
          <t>Шкафы телекоммуникационные</t>
        </is>
      </c>
      <c r="B144" s="4" t="inlineStr">
        <is>
          <t xml:space="preserve">Настенный термошкаф 400x400x250 мм, IP65 (нагрев, контроль климата) </t>
        </is>
      </c>
      <c r="C144" s="5" t="inlineStr"/>
      <c r="D144" s="5" t="n">
        <v>3828247</v>
      </c>
      <c r="E144" s="5" t="n">
        <v>3418078</v>
      </c>
      <c r="F144" s="5" t="inlineStr"/>
      <c r="G144" s="5" t="inlineStr">
        <is>
          <t>SNR</t>
        </is>
      </c>
      <c r="H144" s="5">
        <f>HYPERLINK("https://itrix.uz/product/898", "🔗 Купить продукт")</f>
        <v/>
      </c>
      <c r="I144" t="inlineStr">
        <is>
          <t>4-898-788</t>
        </is>
      </c>
    </row>
    <row r="145" ht="30" customHeight="1">
      <c r="A145" s="4" t="inlineStr">
        <is>
          <t>Коммутаторы</t>
        </is>
      </c>
      <c r="B145" s="4" t="inlineStr">
        <is>
          <t>Управляемый коммутатор уровня 3 SNR-S2995G-48FX</t>
        </is>
      </c>
      <c r="C145" s="5" t="inlineStr"/>
      <c r="D145" s="5" t="n">
        <v>15214986</v>
      </c>
      <c r="E145" s="5" t="n">
        <v>13584809</v>
      </c>
      <c r="F145" s="5" t="inlineStr"/>
      <c r="G145" s="5" t="inlineStr">
        <is>
          <t>SNR</t>
        </is>
      </c>
      <c r="H145" s="5">
        <f>HYPERLINK("https://itrix.uz/product/469", "🔗 Купить продукт")</f>
        <v/>
      </c>
      <c r="I145" t="inlineStr">
        <is>
          <t>4-469-453</t>
        </is>
      </c>
    </row>
    <row r="146" ht="30" customHeight="1">
      <c r="A146" s="4" t="inlineStr">
        <is>
          <t>Коммутаторы</t>
        </is>
      </c>
      <c r="B146" s="4" t="inlineStr">
        <is>
          <t>Управляемый коммутатор уровня 3 SNR-S2995G-24FX</t>
        </is>
      </c>
      <c r="C146" s="5" t="inlineStr"/>
      <c r="D146" s="5" t="n">
        <v>8298993</v>
      </c>
      <c r="E146" s="5" t="n">
        <v>7409815</v>
      </c>
      <c r="F146" s="5" t="inlineStr"/>
      <c r="G146" s="5" t="inlineStr">
        <is>
          <t>SNR</t>
        </is>
      </c>
      <c r="H146" s="5">
        <f>HYPERLINK("https://itrix.uz/product/470", "🔗 Купить продукт")</f>
        <v/>
      </c>
      <c r="I146" t="inlineStr">
        <is>
          <t>4-470-454</t>
        </is>
      </c>
    </row>
    <row r="147" ht="30" customHeight="1">
      <c r="A147" s="4" t="inlineStr">
        <is>
          <t>Коммутаторы</t>
        </is>
      </c>
      <c r="B147" s="4" t="inlineStr">
        <is>
          <t>Управляемый коммутатор уровня 3 SNR-S2995G-24TX-POE</t>
        </is>
      </c>
      <c r="C147" s="5" t="inlineStr"/>
      <c r="D147" s="5" t="n">
        <v>14684573</v>
      </c>
      <c r="E147" s="5" t="n">
        <v>13111226</v>
      </c>
      <c r="F147" s="5" t="n">
        <v>11318875</v>
      </c>
      <c r="G147" s="5" t="inlineStr">
        <is>
          <t>SNR</t>
        </is>
      </c>
      <c r="H147" s="5">
        <f>HYPERLINK("https://itrix.uz/product/477", "🔗 Купить продукт")</f>
        <v/>
      </c>
      <c r="I147" t="inlineStr">
        <is>
          <t>4-477-461</t>
        </is>
      </c>
    </row>
    <row r="148" ht="30" customHeight="1">
      <c r="A148" s="4" t="inlineStr">
        <is>
          <t>Коммутаторы</t>
        </is>
      </c>
      <c r="B148" s="4" t="inlineStr">
        <is>
          <t>Управляемый коммутатор уровня 2 SNR-S2990X-24FQ</t>
        </is>
      </c>
      <c r="C148" s="5" t="inlineStr"/>
      <c r="D148" s="5" t="n">
        <v>38660832</v>
      </c>
      <c r="E148" s="5" t="n">
        <v>34518600</v>
      </c>
      <c r="F148" s="5" t="inlineStr"/>
      <c r="G148" s="5" t="inlineStr">
        <is>
          <t>SNR</t>
        </is>
      </c>
      <c r="H148" s="5">
        <f>HYPERLINK("https://itrix.uz/product/466", "🔗 Купить продукт")</f>
        <v/>
      </c>
      <c r="I148" t="inlineStr">
        <is>
          <t>4-466-450</t>
        </is>
      </c>
    </row>
    <row r="149" ht="30" customHeight="1">
      <c r="A149" s="4" t="inlineStr">
        <is>
          <t>Коммутаторы</t>
        </is>
      </c>
      <c r="B149" s="4" t="inlineStr">
        <is>
          <t>Управляемый POE коммутатор уровня 2 SNR-S2985G-24T-POE-E</t>
        </is>
      </c>
      <c r="C149" s="5" t="inlineStr"/>
      <c r="D149" s="5" t="n">
        <v>9889663</v>
      </c>
      <c r="E149" s="5" t="n">
        <v>8830056</v>
      </c>
      <c r="F149" s="5" t="inlineStr"/>
      <c r="G149" s="5" t="inlineStr">
        <is>
          <t>SNR</t>
        </is>
      </c>
      <c r="H149" s="5">
        <f>HYPERLINK("https://itrix.uz/product/474", "🔗 Купить продукт")</f>
        <v/>
      </c>
      <c r="I149" t="inlineStr">
        <is>
          <t>4-474-458</t>
        </is>
      </c>
    </row>
    <row r="150" ht="30" customHeight="1">
      <c r="A150" s="4" t="inlineStr">
        <is>
          <t>Коммутаторы</t>
        </is>
      </c>
      <c r="B150" s="4" t="inlineStr">
        <is>
          <t>Управляемый PoE коммутатор уровня 2 SNR-S2989G-24TX-POE-2AC</t>
        </is>
      </c>
      <c r="C150" s="5" t="inlineStr"/>
      <c r="D150" s="5" t="n">
        <v>8818880</v>
      </c>
      <c r="E150" s="5" t="n">
        <v>7874000</v>
      </c>
      <c r="F150" s="5" t="inlineStr"/>
      <c r="G150" s="5" t="inlineStr">
        <is>
          <t>SNR</t>
        </is>
      </c>
      <c r="H150" s="5">
        <f>HYPERLINK("https://itrix.uz/product/478", "🔗 Купить продукт")</f>
        <v/>
      </c>
      <c r="I150" t="inlineStr">
        <is>
          <t>4-478-462</t>
        </is>
      </c>
    </row>
    <row r="151" ht="30" customHeight="1">
      <c r="A151" s="4" t="inlineStr">
        <is>
          <t>Коммутаторы</t>
        </is>
      </c>
      <c r="B151" s="4" t="inlineStr">
        <is>
          <t>Управляемый коммутатор L2+ Ruijie Reyee RG-NBS3200-48GT4XS</t>
        </is>
      </c>
      <c r="C151" s="5" t="inlineStr"/>
      <c r="D151" s="5" t="n">
        <v>10739120</v>
      </c>
      <c r="E151" s="5" t="n">
        <v>9588500</v>
      </c>
      <c r="F151" s="5" t="inlineStr"/>
      <c r="G151" s="5" t="inlineStr">
        <is>
          <t>Reyee</t>
        </is>
      </c>
      <c r="H151" s="5">
        <f>HYPERLINK("https://itrix.uz/product/490", "🔗 Купить продукт")</f>
        <v/>
      </c>
      <c r="I151" t="inlineStr">
        <is>
          <t>4-490-474</t>
        </is>
      </c>
    </row>
    <row r="152" ht="30" customHeight="1">
      <c r="A152" s="4" t="inlineStr">
        <is>
          <t>Коммутаторы</t>
        </is>
      </c>
      <c r="B152" s="4" t="inlineStr">
        <is>
          <t>Управляемый коммутатор уровня 3 SNR-S2995G-24TX</t>
        </is>
      </c>
      <c r="C152" s="5" t="inlineStr"/>
      <c r="D152" s="5" t="n">
        <v>6087872</v>
      </c>
      <c r="E152" s="5" t="n">
        <v>5435600</v>
      </c>
      <c r="F152" s="5" t="n">
        <v>5080000</v>
      </c>
      <c r="G152" s="5" t="inlineStr">
        <is>
          <t>SNR</t>
        </is>
      </c>
      <c r="H152" s="5">
        <f>HYPERLINK("https://itrix.uz/product/450", "🔗 Купить продукт")</f>
        <v/>
      </c>
      <c r="I152" t="inlineStr">
        <is>
          <t>4-450-434</t>
        </is>
      </c>
    </row>
    <row r="153" ht="30" customHeight="1">
      <c r="A153" s="4" t="inlineStr">
        <is>
          <t>Коммутаторы</t>
        </is>
      </c>
      <c r="B153" s="4" t="inlineStr">
        <is>
          <t>Управляемый коммутатор уровня 3 SNR-S2995G-12FX</t>
        </is>
      </c>
      <c r="C153" s="5" t="inlineStr"/>
      <c r="D153" s="5" t="n">
        <v>4841138</v>
      </c>
      <c r="E153" s="5" t="n">
        <v>4322445</v>
      </c>
      <c r="F153" s="5" t="inlineStr"/>
      <c r="G153" s="5" t="inlineStr">
        <is>
          <t>SNR</t>
        </is>
      </c>
      <c r="H153" s="5">
        <f>HYPERLINK("https://itrix.uz/product/600", "🔗 Купить продукт")</f>
        <v/>
      </c>
      <c r="I153" t="inlineStr">
        <is>
          <t>4-600-555</t>
        </is>
      </c>
    </row>
    <row r="154" ht="30" customHeight="1">
      <c r="A154" s="4" t="inlineStr">
        <is>
          <t>Коммутаторы</t>
        </is>
      </c>
      <c r="B154" s="4" t="inlineStr">
        <is>
          <t>Управляемый коммутатор HPE Aruba 6100 JL677A 24G 4SFP+ PoE 370W Switch</t>
        </is>
      </c>
      <c r="C154" s="5" t="inlineStr"/>
      <c r="D154" s="5" t="n">
        <v>41406064</v>
      </c>
      <c r="E154" s="5" t="n">
        <v>36969700</v>
      </c>
      <c r="F154" s="5" t="inlineStr"/>
      <c r="G154" s="5" t="inlineStr">
        <is>
          <t>HPE</t>
        </is>
      </c>
      <c r="H154" s="5">
        <f>HYPERLINK("https://itrix.uz/product/162", "🔗 Купить продукт")</f>
        <v/>
      </c>
      <c r="I154" t="inlineStr">
        <is>
          <t>4-162-108</t>
        </is>
      </c>
    </row>
    <row r="155" ht="30" customHeight="1">
      <c r="A155" s="4" t="inlineStr">
        <is>
          <t>Коммутаторы</t>
        </is>
      </c>
      <c r="B155" s="4" t="inlineStr">
        <is>
          <t>Управляемый коммутатор HPE Aruba 2930F JL262A 48G PoE+ 4SFP Switch</t>
        </is>
      </c>
      <c r="C155" s="5" t="inlineStr"/>
      <c r="D155" s="5" t="n">
        <v>28305760</v>
      </c>
      <c r="E155" s="5" t="n">
        <v>25273000</v>
      </c>
      <c r="F155" s="5" t="inlineStr"/>
      <c r="G155" s="5" t="inlineStr">
        <is>
          <t>HPE</t>
        </is>
      </c>
      <c r="H155" s="5">
        <f>HYPERLINK("https://itrix.uz/product/170", "🔗 Купить продукт")</f>
        <v/>
      </c>
      <c r="I155" t="inlineStr">
        <is>
          <t>4-170-172</t>
        </is>
      </c>
    </row>
    <row r="156" ht="30" customHeight="1">
      <c r="A156" s="4" t="inlineStr">
        <is>
          <t>Коммутаторы</t>
        </is>
      </c>
      <c r="B156" s="4" t="inlineStr">
        <is>
          <t>Управляемый коммутатор Ubiquiti EdgeSwitch 8 PoE  ES-8-150W</t>
        </is>
      </c>
      <c r="C156" s="5" t="inlineStr"/>
      <c r="D156" s="5" t="n">
        <v>3954272</v>
      </c>
      <c r="E156" s="5" t="n">
        <v>3530600</v>
      </c>
      <c r="F156" s="5" t="inlineStr"/>
      <c r="G156" s="5" t="inlineStr">
        <is>
          <t>UniFi UBIQUITI</t>
        </is>
      </c>
      <c r="H156" s="5">
        <f>HYPERLINK("https://itrix.uz/product/179", "🔗 Купить продукт")</f>
        <v/>
      </c>
      <c r="I156" t="inlineStr">
        <is>
          <t>4-179-181</t>
        </is>
      </c>
    </row>
    <row r="157" ht="30" customHeight="1">
      <c r="A157" s="4" t="inlineStr">
        <is>
          <t>Коммутаторы</t>
        </is>
      </c>
      <c r="B157" s="4" t="inlineStr">
        <is>
          <t>Управляемый PoE коммутатор H3C L2 S5170-28S-HPWR-EI 24G+PoE+4SFP Switch</t>
        </is>
      </c>
      <c r="C157" s="5" t="inlineStr"/>
      <c r="D157" s="5" t="n">
        <v>8577072</v>
      </c>
      <c r="E157" s="5" t="n">
        <v>7658100</v>
      </c>
      <c r="F157" s="5" t="inlineStr"/>
      <c r="G157" s="5" t="inlineStr">
        <is>
          <t>H3C</t>
        </is>
      </c>
      <c r="H157" s="5">
        <f>HYPERLINK("https://itrix.uz/product/211", "🔗 Купить продукт")</f>
        <v/>
      </c>
      <c r="I157" t="inlineStr">
        <is>
          <t>4-211-213</t>
        </is>
      </c>
    </row>
    <row r="158" ht="30" customHeight="1">
      <c r="A158" s="4" t="inlineStr">
        <is>
          <t>Коммутаторы</t>
        </is>
      </c>
      <c r="B158" s="4" t="inlineStr">
        <is>
          <t>Коммутатор Zyxel GS1008HP 8G Switch</t>
        </is>
      </c>
      <c r="C158" s="5" t="inlineStr"/>
      <c r="D158" s="5" t="n">
        <v>1322832</v>
      </c>
      <c r="E158" s="5" t="n">
        <v>1181100</v>
      </c>
      <c r="F158" s="5" t="inlineStr"/>
      <c r="G158" s="5" t="inlineStr">
        <is>
          <t>Zyxel</t>
        </is>
      </c>
      <c r="H158" s="5">
        <f>HYPERLINK("https://itrix.uz/product/220", "🔗 Купить продукт")</f>
        <v/>
      </c>
      <c r="I158" t="inlineStr">
        <is>
          <t>4-220-222</t>
        </is>
      </c>
    </row>
    <row r="159" ht="30" customHeight="1">
      <c r="A159" s="4" t="inlineStr">
        <is>
          <t>Коммутаторы</t>
        </is>
      </c>
      <c r="B159" s="4" t="inlineStr">
        <is>
          <t>Коммутатор Zyxel GS1300-10HP 8G 1SFP Switch</t>
        </is>
      </c>
      <c r="C159" s="5" t="inlineStr"/>
      <c r="D159" s="5" t="n">
        <v>3726688</v>
      </c>
      <c r="E159" s="5" t="n">
        <v>3327400</v>
      </c>
      <c r="F159" s="5" t="inlineStr"/>
      <c r="G159" s="5" t="inlineStr">
        <is>
          <t>Zyxel</t>
        </is>
      </c>
      <c r="H159" s="5">
        <f>HYPERLINK("https://itrix.uz/product/221", "🔗 Купить продукт")</f>
        <v/>
      </c>
      <c r="I159" t="inlineStr">
        <is>
          <t>4-221-223</t>
        </is>
      </c>
    </row>
    <row r="160" ht="30" customHeight="1">
      <c r="A160" s="4" t="inlineStr">
        <is>
          <t>Коммутаторы</t>
        </is>
      </c>
      <c r="B160" s="4" t="inlineStr">
        <is>
          <t>Коммутатор Zyxel GS1350-12HP 10G 2SFP PoE Switch</t>
        </is>
      </c>
      <c r="C160" s="5" t="inlineStr"/>
      <c r="D160" s="5" t="n">
        <v>5177536</v>
      </c>
      <c r="E160" s="5" t="n">
        <v>4622800</v>
      </c>
      <c r="F160" s="5" t="inlineStr"/>
      <c r="G160" s="5" t="inlineStr">
        <is>
          <t>Zyxel</t>
        </is>
      </c>
      <c r="H160" s="5">
        <f>HYPERLINK("https://itrix.uz/product/222", "🔗 Купить продукт")</f>
        <v/>
      </c>
      <c r="I160" t="inlineStr">
        <is>
          <t>4-222-224</t>
        </is>
      </c>
    </row>
    <row r="161" ht="30" customHeight="1">
      <c r="A161" s="4" t="inlineStr">
        <is>
          <t>Коммутаторы</t>
        </is>
      </c>
      <c r="B161" s="4" t="inlineStr">
        <is>
          <t>Коммутатор Zyxel GS1350-18HP 16G 2SFP PoE Switch</t>
        </is>
      </c>
      <c r="C161" s="5" t="inlineStr"/>
      <c r="D161" s="5" t="n">
        <v>7624064</v>
      </c>
      <c r="E161" s="5" t="n">
        <v>6807200</v>
      </c>
      <c r="F161" s="5" t="inlineStr"/>
      <c r="G161" s="5" t="inlineStr">
        <is>
          <t>Zyxel</t>
        </is>
      </c>
      <c r="H161" s="5">
        <f>HYPERLINK("https://itrix.uz/product/223", "🔗 Купить продукт")</f>
        <v/>
      </c>
      <c r="I161" t="inlineStr">
        <is>
          <t>4-223-225</t>
        </is>
      </c>
    </row>
    <row r="162" ht="30" customHeight="1">
      <c r="A162" s="4" t="inlineStr">
        <is>
          <t>Коммутаторы</t>
        </is>
      </c>
      <c r="B162" s="4" t="inlineStr">
        <is>
          <t>Управляемый коммутатор Zyxel GS1350-6HP 5G 1SFP PoE Switch</t>
        </is>
      </c>
      <c r="C162" s="5" t="inlineStr"/>
      <c r="D162" s="5" t="n">
        <v>2773680</v>
      </c>
      <c r="E162" s="5" t="n">
        <v>2476500</v>
      </c>
      <c r="F162" s="5" t="inlineStr"/>
      <c r="G162" s="5" t="inlineStr">
        <is>
          <t>Zyxel</t>
        </is>
      </c>
      <c r="H162" s="5">
        <f>HYPERLINK("https://itrix.uz/product/225", "🔗 Купить продукт")</f>
        <v/>
      </c>
      <c r="I162" t="inlineStr">
        <is>
          <t>4-225-227</t>
        </is>
      </c>
    </row>
    <row r="163" ht="30" customHeight="1">
      <c r="A163" s="4" t="inlineStr">
        <is>
          <t>Коммутаторы</t>
        </is>
      </c>
      <c r="B163" s="4" t="inlineStr">
        <is>
          <t>Коммутатор Ubiquiti USW-Flex-2.5G-8</t>
        </is>
      </c>
      <c r="C163" s="5" t="inlineStr"/>
      <c r="D163" s="5" t="n">
        <v>3385881</v>
      </c>
      <c r="E163" s="5" t="n">
        <v>3023108</v>
      </c>
      <c r="F163" s="5" t="n">
        <v>2790571</v>
      </c>
      <c r="G163" s="5" t="inlineStr">
        <is>
          <t>UniFi UBIQUITI</t>
        </is>
      </c>
      <c r="H163" s="5">
        <f>HYPERLINK("https://itrix.uz/product/1426", "🔗 Купить продукт")</f>
        <v/>
      </c>
      <c r="I163" t="inlineStr">
        <is>
          <t>4-1426-1126</t>
        </is>
      </c>
    </row>
    <row r="164" ht="30" customHeight="1">
      <c r="A164" s="4" t="inlineStr">
        <is>
          <t>Коммутаторы</t>
        </is>
      </c>
      <c r="B164" s="4" t="inlineStr">
        <is>
          <t>Управляемый коммутатор Dell EMC Networking N2248PX-ON</t>
        </is>
      </c>
      <c r="C164" s="5" t="inlineStr"/>
      <c r="D164" s="5" t="n">
        <v>21336000</v>
      </c>
      <c r="E164" s="5" t="n">
        <v>19050000</v>
      </c>
      <c r="F164" s="5" t="inlineStr"/>
      <c r="G164" s="5" t="inlineStr"/>
      <c r="H164" s="5">
        <f>HYPERLINK("https://itrix.uz/product/575", "🔗 Купить продукт")</f>
        <v/>
      </c>
      <c r="I164" t="inlineStr">
        <is>
          <t>4-575-535</t>
        </is>
      </c>
    </row>
    <row r="165" ht="30" customHeight="1">
      <c r="A165" s="4" t="inlineStr">
        <is>
          <t>Коммутаторы</t>
        </is>
      </c>
      <c r="B165" s="4" t="inlineStr">
        <is>
          <t>Управляемый коммутатор уровня 2 SNR-S2982G-24TE-REF</t>
        </is>
      </c>
      <c r="C165" s="5" t="inlineStr"/>
      <c r="D165" s="5" t="n">
        <v>3314192</v>
      </c>
      <c r="E165" s="5" t="n">
        <v>2959100</v>
      </c>
      <c r="F165" s="5" t="inlineStr"/>
      <c r="G165" s="5" t="inlineStr">
        <is>
          <t>SNR</t>
        </is>
      </c>
      <c r="H165" s="5">
        <f>HYPERLINK("https://itrix.uz/product/818", "🔗 Купить продукт")</f>
        <v/>
      </c>
      <c r="I165" t="inlineStr">
        <is>
          <t>4-818-757</t>
        </is>
      </c>
    </row>
    <row r="166" ht="30" customHeight="1">
      <c r="A166" s="4" t="inlineStr">
        <is>
          <t>Коммутаторы</t>
        </is>
      </c>
      <c r="B166" s="4" t="inlineStr">
        <is>
          <t>Управляемый PoE коммутатор уровня 2 SNR-S2989G-8TX-POE</t>
        </is>
      </c>
      <c r="C166" s="5" t="inlineStr"/>
      <c r="D166" s="5" t="n">
        <v>4836160</v>
      </c>
      <c r="E166" s="5" t="n">
        <v>4318000</v>
      </c>
      <c r="F166" s="5" t="inlineStr"/>
      <c r="G166" s="5" t="inlineStr">
        <is>
          <t>SNR</t>
        </is>
      </c>
      <c r="H166" s="5">
        <f>HYPERLINK("https://itrix.uz/product/819", "🔗 Купить продукт")</f>
        <v/>
      </c>
      <c r="I166" t="inlineStr">
        <is>
          <t>4-819-758</t>
        </is>
      </c>
    </row>
    <row r="167" ht="30" customHeight="1">
      <c r="A167" s="4" t="inlineStr">
        <is>
          <t>Коммутаторы</t>
        </is>
      </c>
      <c r="B167" s="4" t="inlineStr">
        <is>
          <t>Управляемый коммутатор Ubiquiti UniFi Switch Pro XG 48 PoE</t>
        </is>
      </c>
      <c r="C167" s="5" t="inlineStr"/>
      <c r="D167" s="5" t="n">
        <v>45604420</v>
      </c>
      <c r="E167" s="5" t="n">
        <v>40718232</v>
      </c>
      <c r="F167" s="5" t="n">
        <v>37586031</v>
      </c>
      <c r="G167" s="5" t="inlineStr">
        <is>
          <t>UniFi UBIQUITI</t>
        </is>
      </c>
      <c r="H167" s="5">
        <f>HYPERLINK("https://itrix.uz/product/1436", "🔗 Купить продукт")</f>
        <v/>
      </c>
      <c r="I167" t="inlineStr">
        <is>
          <t>4-1436-1136</t>
        </is>
      </c>
    </row>
    <row r="168" ht="30" customHeight="1">
      <c r="A168" s="4" t="inlineStr">
        <is>
          <t>Коммутаторы</t>
        </is>
      </c>
      <c r="B168" s="4" t="inlineStr">
        <is>
          <t>Управляемый коммутатор уровня 2 SNR-S2989G-8TX</t>
        </is>
      </c>
      <c r="C168" s="5" t="inlineStr"/>
      <c r="D168" s="5" t="n">
        <v>2766284</v>
      </c>
      <c r="E168" s="5" t="n">
        <v>2469896</v>
      </c>
      <c r="F168" s="5" t="inlineStr"/>
      <c r="G168" s="5" t="inlineStr">
        <is>
          <t>SNR</t>
        </is>
      </c>
      <c r="H168" s="5">
        <f>HYPERLINK("https://itrix.uz/product/820", "🔗 Купить продукт")</f>
        <v/>
      </c>
      <c r="I168" t="inlineStr">
        <is>
          <t>4-820-759</t>
        </is>
      </c>
    </row>
    <row r="169" ht="30" customHeight="1">
      <c r="A169" s="4" t="inlineStr">
        <is>
          <t>Коммутаторы</t>
        </is>
      </c>
      <c r="B169" s="4" t="inlineStr">
        <is>
          <t>Управляемый коммутатор Grandsteam GWN7813</t>
        </is>
      </c>
      <c r="C169" s="5" t="inlineStr"/>
      <c r="D169" s="5" t="n">
        <v>4506163</v>
      </c>
      <c r="E169" s="5" t="n">
        <v>4023360</v>
      </c>
      <c r="F169" s="5" t="inlineStr"/>
      <c r="G169" s="5" t="inlineStr">
        <is>
          <t>Grandstream</t>
        </is>
      </c>
      <c r="H169" s="5">
        <f>HYPERLINK("https://itrix.uz/product/976", "🔗 Купить продукт")</f>
        <v/>
      </c>
      <c r="I169" t="inlineStr">
        <is>
          <t>4-976-865</t>
        </is>
      </c>
    </row>
    <row r="170" ht="30" customHeight="1">
      <c r="A170" s="4" t="inlineStr">
        <is>
          <t>Коммутаторы</t>
        </is>
      </c>
      <c r="B170" s="4" t="inlineStr">
        <is>
          <t>Коммутатор PoE MikroTik CRS112-8P-4S-IN</t>
        </is>
      </c>
      <c r="C170" s="5" t="inlineStr"/>
      <c r="D170" s="5" t="n">
        <v>3253740</v>
      </c>
      <c r="E170" s="5" t="n">
        <v>2905125</v>
      </c>
      <c r="F170" s="5" t="n">
        <v>2681605</v>
      </c>
      <c r="G170" s="5" t="inlineStr">
        <is>
          <t>Mikrotik</t>
        </is>
      </c>
      <c r="H170" s="5">
        <f>HYPERLINK("https://itrix.uz/product/1299", "🔗 Купить продукт")</f>
        <v/>
      </c>
      <c r="I170" t="inlineStr">
        <is>
          <t>4-1299-1006</t>
        </is>
      </c>
    </row>
    <row r="171" ht="30" customHeight="1">
      <c r="A171" s="4" t="inlineStr">
        <is>
          <t>Коммутаторы</t>
        </is>
      </c>
      <c r="B171" s="4" t="inlineStr">
        <is>
          <t>Коммутатор Grandstream GWN7816</t>
        </is>
      </c>
      <c r="C171" s="5" t="inlineStr"/>
      <c r="D171" s="5" t="n">
        <v>9353702</v>
      </c>
      <c r="E171" s="5" t="n">
        <v>8351520</v>
      </c>
      <c r="F171" s="5" t="inlineStr"/>
      <c r="G171" s="5" t="inlineStr">
        <is>
          <t>Grandstream</t>
        </is>
      </c>
      <c r="H171" s="5">
        <f>HYPERLINK("https://itrix.uz/product/978", "🔗 Купить продукт")</f>
        <v/>
      </c>
      <c r="I171" t="inlineStr">
        <is>
          <t>4-978-867</t>
        </is>
      </c>
    </row>
    <row r="172" ht="30" customHeight="1">
      <c r="A172" s="4" t="inlineStr">
        <is>
          <t>Коммутаторы</t>
        </is>
      </c>
      <c r="B172" s="4" t="inlineStr">
        <is>
          <t xml:space="preserve">Коммутатор Grandstream GWN7816P </t>
        </is>
      </c>
      <c r="C172" s="5" t="inlineStr"/>
      <c r="D172" s="5" t="n">
        <v>18144134</v>
      </c>
      <c r="E172" s="5" t="n">
        <v>16200120</v>
      </c>
      <c r="F172" s="5" t="inlineStr"/>
      <c r="G172" s="5" t="inlineStr">
        <is>
          <t>Grandstream</t>
        </is>
      </c>
      <c r="H172" s="5">
        <f>HYPERLINK("https://itrix.uz/product/979", "🔗 Купить продукт")</f>
        <v/>
      </c>
      <c r="I172" t="inlineStr">
        <is>
          <t>4-979-868</t>
        </is>
      </c>
    </row>
    <row r="173" ht="30" customHeight="1">
      <c r="A173" s="4" t="inlineStr">
        <is>
          <t>Коммутаторы</t>
        </is>
      </c>
      <c r="B173" s="4" t="inlineStr">
        <is>
          <t>Управляемый коммутатор уровня 2 SNR-S2989G-24TX-UPS</t>
        </is>
      </c>
      <c r="C173" s="5" t="inlineStr"/>
      <c r="D173" s="5" t="n">
        <v>5601838</v>
      </c>
      <c r="E173" s="5" t="n">
        <v>5001641</v>
      </c>
      <c r="F173" s="5" t="inlineStr"/>
      <c r="G173" s="5" t="inlineStr">
        <is>
          <t>SNR</t>
        </is>
      </c>
      <c r="H173" s="5">
        <f>HYPERLINK("https://itrix.uz/product/826", "🔗 Купить продукт")</f>
        <v/>
      </c>
      <c r="I173" t="inlineStr">
        <is>
          <t>4-826-760</t>
        </is>
      </c>
    </row>
    <row r="174" ht="30" customHeight="1">
      <c r="A174" s="4" t="inlineStr">
        <is>
          <t>Коммутаторы</t>
        </is>
      </c>
      <c r="B174" s="4" t="inlineStr">
        <is>
          <t>Управляемый POE коммутатор уровня 2 SNR-S2982G-24T-POE-E</t>
        </is>
      </c>
      <c r="C174" s="5" t="inlineStr"/>
      <c r="D174" s="5" t="n">
        <v>9613006</v>
      </c>
      <c r="E174" s="5" t="n">
        <v>8583041</v>
      </c>
      <c r="F174" s="5" t="inlineStr"/>
      <c r="G174" s="5" t="inlineStr">
        <is>
          <t>SNR</t>
        </is>
      </c>
      <c r="H174" s="5">
        <f>HYPERLINK("https://itrix.uz/product/827", "🔗 Купить продукт")</f>
        <v/>
      </c>
      <c r="I174" t="inlineStr">
        <is>
          <t>4-827-761</t>
        </is>
      </c>
    </row>
    <row r="175" ht="30" customHeight="1">
      <c r="A175" s="4" t="inlineStr">
        <is>
          <t>Коммутаторы</t>
        </is>
      </c>
      <c r="B175" s="4" t="inlineStr">
        <is>
          <t>Управляемый промышленный POE коммутатор уровня 2 SNR-S215Gi-8T-POE</t>
        </is>
      </c>
      <c r="C175" s="5" t="inlineStr"/>
      <c r="D175" s="5" t="n">
        <v>4149425</v>
      </c>
      <c r="E175" s="5" t="n">
        <v>3704844</v>
      </c>
      <c r="F175" s="5" t="inlineStr"/>
      <c r="G175" s="5" t="inlineStr">
        <is>
          <t>SNR</t>
        </is>
      </c>
      <c r="H175" s="5">
        <f>HYPERLINK("https://itrix.uz/product/828", "🔗 Купить продукт")</f>
        <v/>
      </c>
      <c r="I175" t="inlineStr">
        <is>
          <t>4-828-762</t>
        </is>
      </c>
    </row>
    <row r="176" ht="30" customHeight="1">
      <c r="A176" s="4" t="inlineStr">
        <is>
          <t>Коммутаторы</t>
        </is>
      </c>
      <c r="B176" s="4" t="inlineStr">
        <is>
          <t>Неуправляемый коммутатор SNR-S1908G-2S</t>
        </is>
      </c>
      <c r="C176" s="5" t="inlineStr"/>
      <c r="D176" s="5" t="n">
        <v>789574</v>
      </c>
      <c r="E176" s="5" t="n">
        <v>704977</v>
      </c>
      <c r="F176" s="5" t="inlineStr"/>
      <c r="G176" s="5" t="inlineStr">
        <is>
          <t>SNR</t>
        </is>
      </c>
      <c r="H176" s="5">
        <f>HYPERLINK("https://itrix.uz/product/835", "🔗 Купить продукт")</f>
        <v/>
      </c>
      <c r="I176" t="inlineStr">
        <is>
          <t>4-835-767</t>
        </is>
      </c>
    </row>
    <row r="177" ht="30" customHeight="1">
      <c r="A177" s="4" t="inlineStr">
        <is>
          <t>Коммутаторы</t>
        </is>
      </c>
      <c r="B177" s="4" t="inlineStr">
        <is>
          <t>Неуправляемый коммутатор SNR-S1904G-2S</t>
        </is>
      </c>
      <c r="C177" s="5" t="inlineStr"/>
      <c r="D177" s="5" t="n">
        <v>691571</v>
      </c>
      <c r="E177" s="5" t="n">
        <v>617474</v>
      </c>
      <c r="F177" s="5" t="inlineStr"/>
      <c r="G177" s="5" t="inlineStr">
        <is>
          <t>SNR</t>
        </is>
      </c>
      <c r="H177" s="5">
        <f>HYPERLINK("https://itrix.uz/product/836", "🔗 Купить продукт")</f>
        <v/>
      </c>
      <c r="I177" t="inlineStr">
        <is>
          <t>4-836-768</t>
        </is>
      </c>
    </row>
    <row r="178" ht="30" customHeight="1">
      <c r="A178" s="4" t="inlineStr">
        <is>
          <t>Коммутаторы</t>
        </is>
      </c>
      <c r="B178" s="4" t="inlineStr">
        <is>
          <t>Коммутатор MikroTik CRS317-1G-16S+RM</t>
        </is>
      </c>
      <c r="C178" s="5" t="inlineStr"/>
      <c r="D178" s="5" t="n">
        <v>7512548</v>
      </c>
      <c r="E178" s="5" t="n">
        <v>6707632</v>
      </c>
      <c r="F178" s="5" t="n">
        <v>6191631</v>
      </c>
      <c r="G178" s="5" t="inlineStr">
        <is>
          <t>Mikrotik</t>
        </is>
      </c>
      <c r="H178" s="5">
        <f>HYPERLINK("https://itrix.uz/product/1300", "🔗 Купить продукт")</f>
        <v/>
      </c>
      <c r="I178" t="inlineStr">
        <is>
          <t>4-1300-1007</t>
        </is>
      </c>
    </row>
    <row r="179" ht="30" customHeight="1">
      <c r="A179" s="4" t="inlineStr">
        <is>
          <t>Сетевое оборудование</t>
        </is>
      </c>
      <c r="B179" s="4" t="inlineStr">
        <is>
          <t xml:space="preserve">Точка доступа Ubiquiti NanoStation Loco M5 </t>
        </is>
      </c>
      <c r="C179" s="5" t="inlineStr"/>
      <c r="D179" s="5" t="n">
        <v>1058123</v>
      </c>
      <c r="E179" s="5" t="n">
        <v>944753</v>
      </c>
      <c r="F179" s="5" t="n">
        <v>872109</v>
      </c>
      <c r="G179" s="5" t="inlineStr">
        <is>
          <t>UniFi UBIQUITI</t>
        </is>
      </c>
      <c r="H179" s="5">
        <f>HYPERLINK("https://itrix.uz/product/1351", "🔗 Купить продукт")</f>
        <v/>
      </c>
      <c r="I179" t="inlineStr">
        <is>
          <t>4-1351-1051</t>
        </is>
      </c>
    </row>
    <row r="180" ht="30" customHeight="1">
      <c r="A180" s="4" t="inlineStr">
        <is>
          <t>Коммутаторы</t>
        </is>
      </c>
      <c r="B180" s="4" t="inlineStr">
        <is>
          <t>Управляемый коммутатор уровня 2 SNR-S2989G-24TX</t>
        </is>
      </c>
      <c r="C180" s="5" t="inlineStr"/>
      <c r="D180" s="5" t="n">
        <v>4426082</v>
      </c>
      <c r="E180" s="5" t="n">
        <v>3951859</v>
      </c>
      <c r="F180" s="5" t="inlineStr"/>
      <c r="G180" s="5" t="inlineStr">
        <is>
          <t>SNR</t>
        </is>
      </c>
      <c r="H180" s="5">
        <f>HYPERLINK("https://itrix.uz/product/432", "🔗 Купить продукт")</f>
        <v/>
      </c>
      <c r="I180" t="inlineStr">
        <is>
          <t>4-432-416</t>
        </is>
      </c>
    </row>
    <row r="181" ht="30" customHeight="1">
      <c r="A181" s="4" t="inlineStr">
        <is>
          <t>Коммутаторы</t>
        </is>
      </c>
      <c r="B181" s="4" t="inlineStr">
        <is>
          <t>Коммутатор MikroTik CRS318-16P-2S+OUT</t>
        </is>
      </c>
      <c r="C181" s="5" t="inlineStr"/>
      <c r="D181" s="5" t="n">
        <v>4285407</v>
      </c>
      <c r="E181" s="5" t="n">
        <v>3826256</v>
      </c>
      <c r="F181" s="5" t="n">
        <v>3531870</v>
      </c>
      <c r="G181" s="5" t="inlineStr">
        <is>
          <t>Mikrotik</t>
        </is>
      </c>
      <c r="H181" s="5">
        <f>HYPERLINK("https://itrix.uz/product/1301", "🔗 Купить продукт")</f>
        <v/>
      </c>
      <c r="I181" t="inlineStr">
        <is>
          <t>4-1301-1008</t>
        </is>
      </c>
    </row>
    <row r="182" ht="30" customHeight="1">
      <c r="A182" s="4" t="inlineStr">
        <is>
          <t>Коммутаторы</t>
        </is>
      </c>
      <c r="B182" s="4" t="inlineStr">
        <is>
          <t>Коммутатор Ubiquiti UniFi USW-Pro-XG-Aggregation</t>
        </is>
      </c>
      <c r="C182" s="5" t="inlineStr"/>
      <c r="D182" s="5" t="n">
        <v>45128343</v>
      </c>
      <c r="E182" s="5" t="n">
        <v>40293163</v>
      </c>
      <c r="F182" s="5" t="n">
        <v>37193601</v>
      </c>
      <c r="G182" s="5" t="inlineStr">
        <is>
          <t>UniFi UBIQUITI</t>
        </is>
      </c>
      <c r="H182" s="5">
        <f>HYPERLINK("https://itrix.uz/product/1437", "🔗 Купить продукт")</f>
        <v/>
      </c>
      <c r="I182" t="inlineStr">
        <is>
          <t>4-1437-1137</t>
        </is>
      </c>
    </row>
    <row r="183" ht="30" customHeight="1">
      <c r="A183" s="4" t="inlineStr">
        <is>
          <t>Сетевое оборудование</t>
        </is>
      </c>
      <c r="B183" s="4" t="inlineStr">
        <is>
          <t>IP-камера видеонаблюдения Ubiquiti UVC-Ai-Dome-W</t>
        </is>
      </c>
      <c r="C183" s="5" t="inlineStr"/>
      <c r="D183" s="5" t="n">
        <v>7618374</v>
      </c>
      <c r="E183" s="5" t="n">
        <v>6802120</v>
      </c>
      <c r="F183" s="5" t="n">
        <v>6278880</v>
      </c>
      <c r="G183" s="5" t="inlineStr">
        <is>
          <t>UniFi UBIQUITI</t>
        </is>
      </c>
      <c r="H183" s="5">
        <f>HYPERLINK("https://itrix.uz/product/1441", "🔗 Купить продукт")</f>
        <v/>
      </c>
      <c r="I183" t="inlineStr">
        <is>
          <t>4-1441-1141</t>
        </is>
      </c>
    </row>
    <row r="184" ht="30" customHeight="1">
      <c r="A184" s="4" t="inlineStr">
        <is>
          <t>Коммутаторы</t>
        </is>
      </c>
      <c r="B184" s="4" t="inlineStr">
        <is>
          <t>Коммутатор MikroTik CRS326-24S+2Q+RM</t>
        </is>
      </c>
      <c r="C184" s="5" t="inlineStr"/>
      <c r="D184" s="5" t="n">
        <v>8729411</v>
      </c>
      <c r="E184" s="5" t="n">
        <v>7794117</v>
      </c>
      <c r="F184" s="5" t="n">
        <v>7194550</v>
      </c>
      <c r="G184" s="5" t="inlineStr">
        <is>
          <t>Mikrotik</t>
        </is>
      </c>
      <c r="H184" s="5">
        <f>HYPERLINK("https://itrix.uz/product/1302", "🔗 Купить продукт")</f>
        <v/>
      </c>
      <c r="I184" t="inlineStr">
        <is>
          <t>4-1302-1009</t>
        </is>
      </c>
    </row>
    <row r="185" ht="30" customHeight="1">
      <c r="A185" s="4" t="inlineStr">
        <is>
          <t>Сетевое оборудование</t>
        </is>
      </c>
      <c r="B185" s="4" t="inlineStr">
        <is>
          <t>Патч-кабель Ubiquiti U-Cable-Patch-0.1M-RJ45-Blue</t>
        </is>
      </c>
      <c r="C185" s="5" t="inlineStr"/>
      <c r="D185" s="5" t="n">
        <v>58176</v>
      </c>
      <c r="E185" s="5" t="n">
        <v>51943</v>
      </c>
      <c r="F185" s="5" t="n">
        <v>48006</v>
      </c>
      <c r="G185" s="5" t="inlineStr">
        <is>
          <t>UniFi UBIQUITI</t>
        </is>
      </c>
      <c r="H185" s="5">
        <f>HYPERLINK("https://itrix.uz/product/1396", "🔗 Купить продукт")</f>
        <v/>
      </c>
      <c r="I185" t="inlineStr">
        <is>
          <t>4-1396-1096</t>
        </is>
      </c>
    </row>
    <row r="186" ht="30" customHeight="1">
      <c r="A186" s="4" t="inlineStr">
        <is>
          <t>Шкафы телекоммуникационные</t>
        </is>
      </c>
      <c r="B186" s="4" t="inlineStr">
        <is>
          <t>Шкаф телекоммуникационный настенный 12U, 600х600х635 (ШхГхВ)</t>
        </is>
      </c>
      <c r="C186" s="5" t="inlineStr"/>
      <c r="D186" s="5" t="n">
        <v>2181819</v>
      </c>
      <c r="E186" s="5" t="n">
        <v>1948053</v>
      </c>
      <c r="F186" s="5" t="inlineStr"/>
      <c r="G186" s="5" t="inlineStr">
        <is>
          <t>SNR</t>
        </is>
      </c>
      <c r="H186" s="5">
        <f>HYPERLINK("https://itrix.uz/product/897", "🔗 Купить продукт")</f>
        <v/>
      </c>
      <c r="I186" t="inlineStr">
        <is>
          <t>4-897-787</t>
        </is>
      </c>
    </row>
    <row r="187" ht="30" customHeight="1">
      <c r="A187" s="4" t="inlineStr">
        <is>
          <t>Коммутаторы</t>
        </is>
      </c>
      <c r="B187" s="4" t="inlineStr">
        <is>
          <t>Неуправляемый коммутатор SNR-S1904G-1S</t>
        </is>
      </c>
      <c r="C187" s="5" t="inlineStr"/>
      <c r="D187" s="5" t="n">
        <v>553171</v>
      </c>
      <c r="E187" s="5" t="n">
        <v>493903</v>
      </c>
      <c r="F187" s="5" t="inlineStr"/>
      <c r="G187" s="5" t="inlineStr">
        <is>
          <t>SNR</t>
        </is>
      </c>
      <c r="H187" s="5">
        <f>HYPERLINK("https://itrix.uz/product/881", "🔗 Купить продукт")</f>
        <v/>
      </c>
      <c r="I187" t="inlineStr">
        <is>
          <t>4-881-769</t>
        </is>
      </c>
    </row>
    <row r="188" ht="30" customHeight="1">
      <c r="A188" s="4" t="inlineStr">
        <is>
          <t>Коммутаторы</t>
        </is>
      </c>
      <c r="B188" s="4" t="inlineStr">
        <is>
          <t>Коммутатор MikroTik CRS328-24P-4S+RM</t>
        </is>
      </c>
      <c r="C188" s="5" t="inlineStr"/>
      <c r="D188" s="5" t="n">
        <v>8200278</v>
      </c>
      <c r="E188" s="5" t="n">
        <v>7321677</v>
      </c>
      <c r="F188" s="5" t="n">
        <v>6758559</v>
      </c>
      <c r="G188" s="5" t="inlineStr">
        <is>
          <t>Mikrotik</t>
        </is>
      </c>
      <c r="H188" s="5">
        <f>HYPERLINK("https://itrix.uz/product/1303", "🔗 Купить продукт")</f>
        <v/>
      </c>
      <c r="I188" t="inlineStr">
        <is>
          <t>4-1303-1010</t>
        </is>
      </c>
    </row>
    <row r="189" ht="30" customHeight="1">
      <c r="A189" s="4" t="inlineStr">
        <is>
          <t>Сетевое оборудование</t>
        </is>
      </c>
      <c r="B189" s="4" t="inlineStr">
        <is>
          <t>Оптический трансивер Ubiquiti UACC-OM-MM-10G-D-2</t>
        </is>
      </c>
      <c r="C189" s="5" t="inlineStr"/>
      <c r="D189" s="5" t="n">
        <v>820014</v>
      </c>
      <c r="E189" s="5" t="n">
        <v>732155</v>
      </c>
      <c r="F189" s="5" t="n">
        <v>675894</v>
      </c>
      <c r="G189" s="5" t="inlineStr">
        <is>
          <t>UniFi UBIQUITI</t>
        </is>
      </c>
      <c r="H189" s="5">
        <f>HYPERLINK("https://itrix.uz/product/1383", "🔗 Купить продукт")</f>
        <v/>
      </c>
      <c r="I189" t="inlineStr">
        <is>
          <t>4-1383-1083</t>
        </is>
      </c>
    </row>
    <row r="190" ht="30" customHeight="1">
      <c r="A190" s="4" t="inlineStr">
        <is>
          <t>Коммутаторы</t>
        </is>
      </c>
      <c r="B190" s="4" t="inlineStr">
        <is>
          <t>Неуправляемый коммутатор SNR-S1100G-8T</t>
        </is>
      </c>
      <c r="C190" s="5" t="inlineStr"/>
      <c r="D190" s="5" t="n">
        <v>320467</v>
      </c>
      <c r="E190" s="5" t="n">
        <v>286131</v>
      </c>
      <c r="F190" s="5" t="inlineStr"/>
      <c r="G190" s="5" t="inlineStr">
        <is>
          <t>SNR</t>
        </is>
      </c>
      <c r="H190" s="5">
        <f>HYPERLINK("https://itrix.uz/product/829", "🔗 Купить продукт")</f>
        <v/>
      </c>
      <c r="I190" t="inlineStr">
        <is>
          <t>4-829-763</t>
        </is>
      </c>
    </row>
    <row r="191" ht="30" customHeight="1">
      <c r="A191" s="4" t="inlineStr">
        <is>
          <t>Коммутаторы</t>
        </is>
      </c>
      <c r="B191" s="4" t="inlineStr">
        <is>
          <t>Коммутатор MikroTik CRS328-4C-20S-4S+RM</t>
        </is>
      </c>
      <c r="C191" s="5" t="inlineStr"/>
      <c r="D191" s="5" t="n">
        <v>7089384</v>
      </c>
      <c r="E191" s="5" t="n">
        <v>6329807</v>
      </c>
      <c r="F191" s="5" t="n">
        <v>5842889</v>
      </c>
      <c r="G191" s="5" t="inlineStr">
        <is>
          <t>Mikrotik</t>
        </is>
      </c>
      <c r="H191" s="5">
        <f>HYPERLINK("https://itrix.uz/product/1304", "🔗 Купить продукт")</f>
        <v/>
      </c>
      <c r="I191" t="inlineStr">
        <is>
          <t>4-1304-1011</t>
        </is>
      </c>
    </row>
    <row r="192" ht="30" customHeight="1">
      <c r="A192" s="4" t="inlineStr">
        <is>
          <t>Коммутаторы</t>
        </is>
      </c>
      <c r="B192" s="4" t="inlineStr">
        <is>
          <t>Неуправляемый коммутатор SNR-S1908-1GS</t>
        </is>
      </c>
      <c r="C192" s="5" t="inlineStr"/>
      <c r="D192" s="5" t="n">
        <v>682041</v>
      </c>
      <c r="E192" s="5" t="n">
        <v>608965</v>
      </c>
      <c r="F192" s="5" t="inlineStr"/>
      <c r="G192" s="5" t="inlineStr">
        <is>
          <t>SNR</t>
        </is>
      </c>
      <c r="H192" s="5">
        <f>HYPERLINK("https://itrix.uz/product/832", "🔗 Купить продукт")</f>
        <v/>
      </c>
      <c r="I192" t="inlineStr">
        <is>
          <t>4-832-766</t>
        </is>
      </c>
    </row>
    <row r="193" ht="30" customHeight="1">
      <c r="A193" s="4" t="inlineStr">
        <is>
          <t>Коммутаторы</t>
        </is>
      </c>
      <c r="B193" s="4" t="inlineStr">
        <is>
          <t>Неуправляемый коммутатор SNR-S1100G-5T</t>
        </is>
      </c>
      <c r="C193" s="5" t="inlineStr"/>
      <c r="D193" s="5" t="n">
        <v>227584</v>
      </c>
      <c r="E193" s="5" t="n">
        <v>203200</v>
      </c>
      <c r="F193" s="5" t="inlineStr"/>
      <c r="G193" s="5" t="inlineStr">
        <is>
          <t>SNR</t>
        </is>
      </c>
      <c r="H193" s="5">
        <f>HYPERLINK("https://itrix.uz/product/830", "🔗 Купить продукт")</f>
        <v/>
      </c>
      <c r="I193" t="inlineStr">
        <is>
          <t>4-830-764</t>
        </is>
      </c>
    </row>
    <row r="194" ht="30" customHeight="1">
      <c r="A194" s="4" t="inlineStr">
        <is>
          <t>Коммутаторы</t>
        </is>
      </c>
      <c r="B194" s="4" t="inlineStr">
        <is>
          <t>Неуправляемый коммутатор SNR-S1000-8T</t>
        </is>
      </c>
      <c r="C194" s="5" t="inlineStr"/>
      <c r="D194" s="5" t="n">
        <v>167132</v>
      </c>
      <c r="E194" s="5" t="n">
        <v>149225</v>
      </c>
      <c r="F194" s="5" t="inlineStr"/>
      <c r="G194" s="5" t="inlineStr">
        <is>
          <t>SNR</t>
        </is>
      </c>
      <c r="H194" s="5">
        <f>HYPERLINK("https://itrix.uz/product/831", "🔗 Купить продукт")</f>
        <v/>
      </c>
      <c r="I194" t="inlineStr">
        <is>
          <t>4-831-765</t>
        </is>
      </c>
    </row>
    <row r="195" ht="30" customHeight="1">
      <c r="A195" s="4" t="inlineStr">
        <is>
          <t>Коммутаторы</t>
        </is>
      </c>
      <c r="B195" s="4" t="inlineStr">
        <is>
          <t>Сетевой коммутатор Grandstream GWN7700</t>
        </is>
      </c>
      <c r="C195" s="5" t="inlineStr"/>
      <c r="D195" s="5" t="n">
        <v>238963</v>
      </c>
      <c r="E195" s="5" t="n">
        <v>213360</v>
      </c>
      <c r="F195" s="5" t="inlineStr"/>
      <c r="G195" s="5" t="inlineStr">
        <is>
          <t>Grandstream</t>
        </is>
      </c>
      <c r="H195" s="5">
        <f>HYPERLINK("https://itrix.uz/product/953", "🔗 Купить продукт")</f>
        <v/>
      </c>
      <c r="I195" t="inlineStr">
        <is>
          <t>4-953-842</t>
        </is>
      </c>
    </row>
    <row r="196" ht="30" customHeight="1">
      <c r="A196" s="4" t="inlineStr">
        <is>
          <t>Коммутаторы</t>
        </is>
      </c>
      <c r="B196" s="4" t="inlineStr">
        <is>
          <t>Неуправляемый коммутатор Grandstream GWN7700P</t>
        </is>
      </c>
      <c r="C196" s="5" t="inlineStr"/>
      <c r="D196" s="5" t="n">
        <v>751027</v>
      </c>
      <c r="E196" s="5" t="n">
        <v>670560</v>
      </c>
      <c r="F196" s="5" t="inlineStr"/>
      <c r="G196" s="5" t="inlineStr">
        <is>
          <t>Grandstream</t>
        </is>
      </c>
      <c r="H196" s="5">
        <f>HYPERLINK("https://itrix.uz/product/954", "🔗 Купить продукт")</f>
        <v/>
      </c>
      <c r="I196" t="inlineStr">
        <is>
          <t>4-954-843</t>
        </is>
      </c>
    </row>
    <row r="197" ht="30" customHeight="1">
      <c r="A197" s="4" t="inlineStr">
        <is>
          <t>Коммутаторы</t>
        </is>
      </c>
      <c r="B197" s="4" t="inlineStr">
        <is>
          <t>Неуправляемый мультигигабитный коммутатор Grandsteam GWN7701M</t>
        </is>
      </c>
      <c r="C197" s="5" t="inlineStr"/>
      <c r="D197" s="5" t="n">
        <v>1433779</v>
      </c>
      <c r="E197" s="5" t="n">
        <v>1280160</v>
      </c>
      <c r="F197" s="5" t="inlineStr"/>
      <c r="G197" s="5" t="inlineStr">
        <is>
          <t>Grandstream</t>
        </is>
      </c>
      <c r="H197" s="5">
        <f>HYPERLINK("https://itrix.uz/product/956", "🔗 Купить продукт")</f>
        <v/>
      </c>
      <c r="I197" t="inlineStr">
        <is>
          <t>4-956-845</t>
        </is>
      </c>
    </row>
    <row r="198" ht="30" customHeight="1">
      <c r="A198" s="4" t="inlineStr">
        <is>
          <t>Коммутаторы</t>
        </is>
      </c>
      <c r="B198" s="4" t="inlineStr">
        <is>
          <t>Коммутатор Mikrotik CRS354-48P-4S+2Q+RM</t>
        </is>
      </c>
      <c r="C198" s="5" t="inlineStr"/>
      <c r="D198" s="5" t="n">
        <v>14654845</v>
      </c>
      <c r="E198" s="5" t="n">
        <v>13084683</v>
      </c>
      <c r="F198" s="5" t="n">
        <v>12078081</v>
      </c>
      <c r="G198" s="5" t="inlineStr">
        <is>
          <t>Mikrotik</t>
        </is>
      </c>
      <c r="H198" s="5">
        <f>HYPERLINK("https://itrix.uz/product/1305", "🔗 Купить продукт")</f>
        <v/>
      </c>
      <c r="I198" t="inlineStr">
        <is>
          <t>4-1305-1012</t>
        </is>
      </c>
    </row>
    <row r="199" ht="30" customHeight="1">
      <c r="A199" s="4" t="inlineStr">
        <is>
          <t>Коммутаторы</t>
        </is>
      </c>
      <c r="B199" s="4" t="inlineStr">
        <is>
          <t xml:space="preserve">Неуправляемый коммутатор  Grandstream GWN7701P  </t>
        </is>
      </c>
      <c r="C199" s="5" t="inlineStr"/>
      <c r="D199" s="5" t="n">
        <v>938784</v>
      </c>
      <c r="E199" s="5" t="n">
        <v>838200</v>
      </c>
      <c r="F199" s="5" t="inlineStr"/>
      <c r="G199" s="5" t="inlineStr">
        <is>
          <t>Grandstream</t>
        </is>
      </c>
      <c r="H199" s="5">
        <f>HYPERLINK("https://itrix.uz/product/957", "🔗 Купить продукт")</f>
        <v/>
      </c>
      <c r="I199" t="inlineStr">
        <is>
          <t>4-957-846</t>
        </is>
      </c>
    </row>
    <row r="200" ht="30" customHeight="1">
      <c r="A200" s="4" t="inlineStr">
        <is>
          <t>Коммутаторы</t>
        </is>
      </c>
      <c r="B200" s="4" t="inlineStr">
        <is>
          <t xml:space="preserve">Коммутатор Grandstream GWN7702 </t>
        </is>
      </c>
      <c r="C200" s="5" t="inlineStr"/>
      <c r="D200" s="5" t="n">
        <v>1246022</v>
      </c>
      <c r="E200" s="5" t="n">
        <v>1112520</v>
      </c>
      <c r="F200" s="5" t="inlineStr"/>
      <c r="G200" s="5" t="inlineStr">
        <is>
          <t>Grandstream</t>
        </is>
      </c>
      <c r="H200" s="5">
        <f>HYPERLINK("https://itrix.uz/product/959", "🔗 Купить продукт")</f>
        <v/>
      </c>
      <c r="I200" t="inlineStr">
        <is>
          <t>4-959-848</t>
        </is>
      </c>
    </row>
    <row r="201" ht="30" customHeight="1">
      <c r="A201" s="4" t="inlineStr">
        <is>
          <t>Коммутаторы</t>
        </is>
      </c>
      <c r="B201" s="4" t="inlineStr">
        <is>
          <t>Коммутатор Grandsteam GWN7702(P)</t>
        </is>
      </c>
      <c r="C201" s="5" t="inlineStr"/>
      <c r="D201" s="5" t="n">
        <v>2287219</v>
      </c>
      <c r="E201" s="5" t="n">
        <v>2042160</v>
      </c>
      <c r="F201" s="5" t="inlineStr"/>
      <c r="G201" s="5" t="inlineStr">
        <is>
          <t>Grandstream</t>
        </is>
      </c>
      <c r="H201" s="5">
        <f>HYPERLINK("https://itrix.uz/product/960", "🔗 Купить продукт")</f>
        <v/>
      </c>
      <c r="I201" t="inlineStr">
        <is>
          <t>4-960-849</t>
        </is>
      </c>
    </row>
    <row r="202" ht="30" customHeight="1">
      <c r="A202" s="4" t="inlineStr">
        <is>
          <t>Коммутаторы</t>
        </is>
      </c>
      <c r="B202" s="4" t="inlineStr">
        <is>
          <t xml:space="preserve">Коммутатор Grandstream GWN7706 </t>
        </is>
      </c>
      <c r="C202" s="5" t="inlineStr"/>
      <c r="D202" s="5" t="n">
        <v>4386682</v>
      </c>
      <c r="E202" s="5" t="n">
        <v>3916680</v>
      </c>
      <c r="F202" s="5" t="inlineStr"/>
      <c r="G202" s="5" t="inlineStr">
        <is>
          <t>Grandstream</t>
        </is>
      </c>
      <c r="H202" s="5">
        <f>HYPERLINK("https://itrix.uz/product/964", "🔗 Купить продукт")</f>
        <v/>
      </c>
      <c r="I202" t="inlineStr">
        <is>
          <t>4-964-853</t>
        </is>
      </c>
    </row>
    <row r="203" ht="30" customHeight="1">
      <c r="A203" s="4" t="inlineStr">
        <is>
          <t>Коммутаторы</t>
        </is>
      </c>
      <c r="B203" s="4" t="inlineStr">
        <is>
          <t>Управляемый коммутато Grandsteam GWN7812P</t>
        </is>
      </c>
      <c r="C203" s="5" t="inlineStr"/>
      <c r="D203" s="5" t="n">
        <v>5530291</v>
      </c>
      <c r="E203" s="5" t="n">
        <v>4937760</v>
      </c>
      <c r="F203" s="5" t="inlineStr"/>
      <c r="G203" s="5" t="inlineStr">
        <is>
          <t>Grandstream</t>
        </is>
      </c>
      <c r="H203" s="5">
        <f>HYPERLINK("https://itrix.uz/product/975", "🔗 Купить продукт")</f>
        <v/>
      </c>
      <c r="I203" t="inlineStr">
        <is>
          <t>4-975-864</t>
        </is>
      </c>
    </row>
    <row r="204" ht="30" customHeight="1">
      <c r="A204" s="4" t="inlineStr">
        <is>
          <t>Коммутаторы</t>
        </is>
      </c>
      <c r="B204" s="4" t="inlineStr">
        <is>
          <t>Управляемый коммутатор Grandsteam GWN7811P</t>
        </is>
      </c>
      <c r="C204" s="5" t="inlineStr"/>
      <c r="D204" s="5" t="n">
        <v>3738067</v>
      </c>
      <c r="E204" s="5" t="n">
        <v>3337560</v>
      </c>
      <c r="F204" s="5" t="inlineStr"/>
      <c r="G204" s="5" t="inlineStr">
        <is>
          <t>Grandstream</t>
        </is>
      </c>
      <c r="H204" s="5">
        <f>HYPERLINK("https://itrix.uz/product/974", "🔗 Купить продукт")</f>
        <v/>
      </c>
      <c r="I204" t="inlineStr">
        <is>
          <t>4-974-863</t>
        </is>
      </c>
    </row>
    <row r="205" ht="30" customHeight="1">
      <c r="A205" s="4" t="inlineStr">
        <is>
          <t>Коммутаторы</t>
        </is>
      </c>
      <c r="B205" s="4" t="inlineStr">
        <is>
          <t>Коммутатор Mikrotik CRS510-8XS-2XQ-IN</t>
        </is>
      </c>
      <c r="C205" s="5" t="inlineStr"/>
      <c r="D205" s="5" t="n">
        <v>14601932</v>
      </c>
      <c r="E205" s="5" t="n">
        <v>13037439</v>
      </c>
      <c r="F205" s="5" t="n">
        <v>12034520</v>
      </c>
      <c r="G205" s="5" t="inlineStr">
        <is>
          <t>Mikrotik</t>
        </is>
      </c>
      <c r="H205" s="5">
        <f>HYPERLINK("https://itrix.uz/product/1306", "🔗 Купить продукт")</f>
        <v/>
      </c>
      <c r="I205" t="inlineStr">
        <is>
          <t>4-1306-1013</t>
        </is>
      </c>
    </row>
    <row r="206" ht="30" customHeight="1">
      <c r="A206" s="4" t="inlineStr">
        <is>
          <t>Коммутаторы</t>
        </is>
      </c>
      <c r="B206" s="4" t="inlineStr">
        <is>
          <t xml:space="preserve">Управляемый коммутатор Grandsteam GWN7813P </t>
        </is>
      </c>
      <c r="C206" s="5" t="inlineStr"/>
      <c r="D206" s="5" t="n">
        <v>8124749</v>
      </c>
      <c r="E206" s="5" t="n">
        <v>7254240</v>
      </c>
      <c r="F206" s="5" t="inlineStr"/>
      <c r="G206" s="5" t="inlineStr">
        <is>
          <t>Grandstream</t>
        </is>
      </c>
      <c r="H206" s="5">
        <f>HYPERLINK("https://itrix.uz/product/977", "🔗 Купить продукт")</f>
        <v/>
      </c>
      <c r="I206" t="inlineStr">
        <is>
          <t>4-977-866</t>
        </is>
      </c>
    </row>
    <row r="207" ht="30" customHeight="1">
      <c r="A207" s="4" t="inlineStr">
        <is>
          <t>Коммутаторы</t>
        </is>
      </c>
      <c r="B207" s="4" t="inlineStr">
        <is>
          <t xml:space="preserve">Управляемый коммутатор Grandstream GWN7832 </t>
        </is>
      </c>
      <c r="C207" s="5" t="inlineStr"/>
      <c r="D207" s="5" t="n">
        <v>5257190</v>
      </c>
      <c r="E207" s="5" t="n">
        <v>4693920</v>
      </c>
      <c r="F207" s="5" t="inlineStr"/>
      <c r="G207" s="5" t="inlineStr">
        <is>
          <t>Grandstream</t>
        </is>
      </c>
      <c r="H207" s="5">
        <f>HYPERLINK("https://itrix.uz/product/980", "🔗 Купить продукт")</f>
        <v/>
      </c>
      <c r="I207" t="inlineStr">
        <is>
          <t>4-980-869</t>
        </is>
      </c>
    </row>
    <row r="208" ht="30" customHeight="1">
      <c r="A208" s="4" t="inlineStr">
        <is>
          <t>Коммутаторы</t>
        </is>
      </c>
      <c r="B208" s="4" t="inlineStr">
        <is>
          <t>Коммутатор MikroTik CRS418-8P-8G-2S+RM</t>
        </is>
      </c>
      <c r="C208" s="5" t="inlineStr"/>
      <c r="D208" s="5" t="n">
        <v>6983557</v>
      </c>
      <c r="E208" s="5" t="n">
        <v>6235319</v>
      </c>
      <c r="F208" s="5" t="n">
        <v>5755640</v>
      </c>
      <c r="G208" s="5" t="inlineStr">
        <is>
          <t>Mikrotik</t>
        </is>
      </c>
      <c r="H208" s="5">
        <f>HYPERLINK("https://itrix.uz/product/1307", "🔗 Купить продукт")</f>
        <v/>
      </c>
      <c r="I208" t="inlineStr">
        <is>
          <t>4-1307-1014</t>
        </is>
      </c>
    </row>
    <row r="209" ht="30" customHeight="1">
      <c r="A209" s="4" t="inlineStr">
        <is>
          <t>Коммутаторы</t>
        </is>
      </c>
      <c r="B209" s="4" t="inlineStr">
        <is>
          <t>Коммутатор Ubiquiti NanoSwitch (N-SW)</t>
        </is>
      </c>
      <c r="C209" s="5" t="inlineStr"/>
      <c r="D209" s="5" t="n">
        <v>714187</v>
      </c>
      <c r="E209" s="5" t="n">
        <v>637667</v>
      </c>
      <c r="F209" s="5" t="n">
        <v>588645</v>
      </c>
      <c r="G209" s="5" t="inlineStr">
        <is>
          <t>UniFi UBIQUITI</t>
        </is>
      </c>
      <c r="H209" s="5">
        <f>HYPERLINK("https://itrix.uz/product/1357", "🔗 Купить продукт")</f>
        <v/>
      </c>
      <c r="I209" t="inlineStr">
        <is>
          <t>4-1357-1057</t>
        </is>
      </c>
    </row>
    <row r="210" ht="30" customHeight="1">
      <c r="A210" s="4" t="inlineStr">
        <is>
          <t>Сетевое оборудование</t>
        </is>
      </c>
      <c r="B210" s="4" t="inlineStr">
        <is>
          <t>SFP-трансивер Ubiquiti UACC-OM-MM-1G-D-2</t>
        </is>
      </c>
      <c r="C210" s="5" t="inlineStr"/>
      <c r="D210" s="5" t="n">
        <v>449763</v>
      </c>
      <c r="E210" s="5" t="n">
        <v>401574</v>
      </c>
      <c r="F210" s="5" t="n">
        <v>370586</v>
      </c>
      <c r="G210" s="5" t="inlineStr">
        <is>
          <t>UniFi UBIQUITI</t>
        </is>
      </c>
      <c r="H210" s="5">
        <f>HYPERLINK("https://itrix.uz/product/1384", "🔗 Купить продукт")</f>
        <v/>
      </c>
      <c r="I210" t="inlineStr">
        <is>
          <t>4-1384-1084</t>
        </is>
      </c>
    </row>
    <row r="211" ht="30" customHeight="1">
      <c r="A211" s="4" t="inlineStr">
        <is>
          <t>Коммутаторы</t>
        </is>
      </c>
      <c r="B211" s="4" t="inlineStr">
        <is>
          <t>Коммутатор MikroTik CRS520-4XS-16XQ-RM</t>
        </is>
      </c>
      <c r="C211" s="5" t="inlineStr"/>
      <c r="D211" s="5" t="n">
        <v>32272265</v>
      </c>
      <c r="E211" s="5" t="n">
        <v>28814522</v>
      </c>
      <c r="F211" s="5" t="n">
        <v>26597991</v>
      </c>
      <c r="G211" s="5" t="inlineStr">
        <is>
          <t>Mikrotik</t>
        </is>
      </c>
      <c r="H211" s="5">
        <f>HYPERLINK("https://itrix.uz/product/1308", "🔗 Купить продукт")</f>
        <v/>
      </c>
      <c r="I211" t="inlineStr">
        <is>
          <t>4-1308-1015</t>
        </is>
      </c>
    </row>
    <row r="212" ht="30" customHeight="1">
      <c r="A212" s="4" t="inlineStr">
        <is>
          <t>Сетевое оборудование</t>
        </is>
      </c>
      <c r="B212" s="4" t="inlineStr">
        <is>
          <t>Блок питания Ubiquiti POE-24-12W-G (24V, 0.5A, Gigabit)</t>
        </is>
      </c>
      <c r="C212" s="5" t="inlineStr"/>
      <c r="D212" s="5" t="n">
        <v>238110</v>
      </c>
      <c r="E212" s="5" t="n">
        <v>212598</v>
      </c>
      <c r="F212" s="5" t="n">
        <v>196215</v>
      </c>
      <c r="G212" s="5" t="inlineStr">
        <is>
          <t>UniFi UBIQUITI</t>
        </is>
      </c>
      <c r="H212" s="5">
        <f>HYPERLINK("https://itrix.uz/product/1359", "🔗 Купить продукт")</f>
        <v/>
      </c>
      <c r="I212" t="inlineStr">
        <is>
          <t>4-1359-1059</t>
        </is>
      </c>
    </row>
    <row r="213" ht="30" customHeight="1">
      <c r="A213" s="4" t="inlineStr">
        <is>
          <t>Коммутаторы</t>
        </is>
      </c>
      <c r="B213" s="4" t="inlineStr">
        <is>
          <t>Коммутатор Ubiquiti UniFi Switch Lite 16 PoE</t>
        </is>
      </c>
      <c r="C213" s="5" t="inlineStr"/>
      <c r="D213" s="5" t="n">
        <v>3703361</v>
      </c>
      <c r="E213" s="5" t="n">
        <v>3306572</v>
      </c>
      <c r="F213" s="5" t="n">
        <v>3052191</v>
      </c>
      <c r="G213" s="5" t="inlineStr">
        <is>
          <t>UniFi UBIQUITI</t>
        </is>
      </c>
      <c r="H213" s="5">
        <f>HYPERLINK("https://itrix.uz/product/1427", "🔗 Купить продукт")</f>
        <v/>
      </c>
      <c r="I213" t="inlineStr">
        <is>
          <t>4-1427-1127</t>
        </is>
      </c>
    </row>
    <row r="214" ht="30" customHeight="1">
      <c r="A214" s="4" t="inlineStr">
        <is>
          <t>Сетевое оборудование</t>
        </is>
      </c>
      <c r="B214" s="4" t="inlineStr">
        <is>
          <t>Блок питания Ubiquiti POE-24-12W-5</t>
        </is>
      </c>
      <c r="C214" s="5" t="inlineStr"/>
      <c r="D214" s="5" t="n">
        <v>185196</v>
      </c>
      <c r="E214" s="5" t="n">
        <v>165354</v>
      </c>
      <c r="F214" s="5" t="n">
        <v>152654</v>
      </c>
      <c r="G214" s="5" t="inlineStr">
        <is>
          <t>UniFi UBIQUITI</t>
        </is>
      </c>
      <c r="H214" s="5">
        <f>HYPERLINK("https://itrix.uz/product/1360", "🔗 Купить продукт")</f>
        <v/>
      </c>
      <c r="I214" t="inlineStr">
        <is>
          <t>4-1360-1060</t>
        </is>
      </c>
    </row>
    <row r="215" ht="30" customHeight="1">
      <c r="A215" s="4" t="inlineStr">
        <is>
          <t>Сетевое оборудование</t>
        </is>
      </c>
      <c r="B215" s="4" t="inlineStr">
        <is>
          <t>Патч-кабель Ubiquiti U-Cable-Patch-0.1M-RJ45-White</t>
        </is>
      </c>
      <c r="C215" s="5" t="inlineStr"/>
      <c r="D215" s="5" t="n">
        <v>58176</v>
      </c>
      <c r="E215" s="5" t="n">
        <v>51943</v>
      </c>
      <c r="F215" s="5" t="n">
        <v>48006</v>
      </c>
      <c r="G215" s="5" t="inlineStr">
        <is>
          <t>UniFi UBIQUITI</t>
        </is>
      </c>
      <c r="H215" s="5">
        <f>HYPERLINK("https://itrix.uz/product/1397", "🔗 Купить продукт")</f>
        <v/>
      </c>
      <c r="I215" t="inlineStr">
        <is>
          <t>4-1397-1097</t>
        </is>
      </c>
    </row>
    <row r="216" ht="30" customHeight="1">
      <c r="A216" s="4" t="inlineStr">
        <is>
          <t>Сетевое оборудование</t>
        </is>
      </c>
      <c r="B216" s="4" t="inlineStr">
        <is>
          <t>Сетевой видеорегистратор Ubiquiti UniFi Network Video Recorder Pro (UNVR-Pro)</t>
        </is>
      </c>
      <c r="C216" s="5" t="inlineStr"/>
      <c r="D216" s="5" t="n">
        <v>9734621</v>
      </c>
      <c r="E216" s="5" t="n">
        <v>8691626</v>
      </c>
      <c r="F216" s="5" t="n">
        <v>8022971</v>
      </c>
      <c r="G216" s="5" t="inlineStr">
        <is>
          <t>UniFi UBIQUITI</t>
        </is>
      </c>
      <c r="H216" s="5">
        <f>HYPERLINK("https://itrix.uz/product/1414", "🔗 Купить продукт")</f>
        <v/>
      </c>
      <c r="I216" t="inlineStr">
        <is>
          <t>4-1414-1114</t>
        </is>
      </c>
    </row>
    <row r="217" ht="30" customHeight="1">
      <c r="A217" s="4" t="inlineStr">
        <is>
          <t>Сетевое оборудование</t>
        </is>
      </c>
      <c r="B217" s="4" t="inlineStr">
        <is>
          <t>Трансивер Ubiquiti UACC-OM-SM-10G-D (10G SFP+ одномодовый модуль)</t>
        </is>
      </c>
      <c r="C217" s="5" t="inlineStr"/>
      <c r="D217" s="5" t="n">
        <v>1825224</v>
      </c>
      <c r="E217" s="5" t="n">
        <v>1629664</v>
      </c>
      <c r="F217" s="5" t="n">
        <v>1504315</v>
      </c>
      <c r="G217" s="5" t="inlineStr">
        <is>
          <t>UniFi UBIQUITI</t>
        </is>
      </c>
      <c r="H217" s="5">
        <f>HYPERLINK("https://itrix.uz/product/1386", "🔗 Купить продукт")</f>
        <v/>
      </c>
      <c r="I217" t="inlineStr">
        <is>
          <t>4-1386-1086</t>
        </is>
      </c>
    </row>
    <row r="218" ht="30" customHeight="1">
      <c r="A218" s="4" t="inlineStr">
        <is>
          <t>Сетевое оборудование</t>
        </is>
      </c>
      <c r="B218" s="4" t="inlineStr">
        <is>
          <t>Патч-кабель Ubiquiti U-Cable-Patch-5M-RJ45-White</t>
        </is>
      </c>
      <c r="C218" s="5" t="inlineStr"/>
      <c r="D218" s="5" t="n">
        <v>137546</v>
      </c>
      <c r="E218" s="5" t="n">
        <v>122809</v>
      </c>
      <c r="F218" s="5" t="n">
        <v>113411</v>
      </c>
      <c r="G218" s="5" t="inlineStr">
        <is>
          <t>UniFi UBIQUITI</t>
        </is>
      </c>
      <c r="H218" s="5">
        <f>HYPERLINK("https://itrix.uz/product/1403", "🔗 Купить продукт")</f>
        <v/>
      </c>
      <c r="I218" t="inlineStr">
        <is>
          <t>4-1403-1103</t>
        </is>
      </c>
    </row>
    <row r="219" ht="30" customHeight="1">
      <c r="A219" s="4" t="inlineStr">
        <is>
          <t>Сетевое оборудование</t>
        </is>
      </c>
      <c r="B219" s="4" t="inlineStr">
        <is>
          <t>PoE адаптер Ubiquiti UniFi PoE++ (U-POE++)</t>
        </is>
      </c>
      <c r="C219" s="5" t="inlineStr"/>
      <c r="D219" s="5" t="n">
        <v>528991</v>
      </c>
      <c r="E219" s="5" t="n">
        <v>472313</v>
      </c>
      <c r="F219" s="5" t="n">
        <v>435991</v>
      </c>
      <c r="G219" s="5" t="inlineStr">
        <is>
          <t>UniFi UBIQUITI</t>
        </is>
      </c>
      <c r="H219" s="5">
        <f>HYPERLINK("https://itrix.uz/product/1415", "🔗 Купить продукт")</f>
        <v/>
      </c>
      <c r="I219" t="inlineStr">
        <is>
          <t>4-1415-1115</t>
        </is>
      </c>
    </row>
    <row r="220" ht="30" customHeight="1">
      <c r="A220" s="4" t="inlineStr">
        <is>
          <t>Сетевое оборудование</t>
        </is>
      </c>
      <c r="B220" s="4" t="inlineStr">
        <is>
          <t>Блок питания Ubiquiti POE-24-24W-G для сетевых устройств</t>
        </is>
      </c>
      <c r="C220" s="5" t="inlineStr"/>
      <c r="D220" s="5" t="n">
        <v>264566</v>
      </c>
      <c r="E220" s="5" t="n">
        <v>236220</v>
      </c>
      <c r="F220" s="5" t="n">
        <v>218059</v>
      </c>
      <c r="G220" s="5" t="inlineStr">
        <is>
          <t>UniFi UBIQUITI</t>
        </is>
      </c>
      <c r="H220" s="5">
        <f>HYPERLINK("https://itrix.uz/product/1362", "🔗 Купить продукт")</f>
        <v/>
      </c>
      <c r="I220" t="inlineStr">
        <is>
          <t>4-1362-1062</t>
        </is>
      </c>
    </row>
    <row r="221" ht="30" customHeight="1">
      <c r="A221" s="4" t="inlineStr">
        <is>
          <t>Сетевое оборудование</t>
        </is>
      </c>
      <c r="B221" s="4" t="inlineStr">
        <is>
          <t>Трансивер Ubiquiti UACC-OM-SM-10G-D (20-pack)</t>
        </is>
      </c>
      <c r="C221" s="5" t="inlineStr"/>
      <c r="D221" s="5" t="n">
        <v>872927</v>
      </c>
      <c r="E221" s="5" t="n">
        <v>779399</v>
      </c>
      <c r="F221" s="5" t="n">
        <v>719455</v>
      </c>
      <c r="G221" s="5" t="inlineStr">
        <is>
          <t>UniFi UBIQUITI</t>
        </is>
      </c>
      <c r="H221" s="5">
        <f>HYPERLINK("https://itrix.uz/product/1387", "🔗 Купить продукт")</f>
        <v/>
      </c>
      <c r="I221" t="inlineStr">
        <is>
          <t>4-1387-1087</t>
        </is>
      </c>
    </row>
    <row r="222" ht="30" customHeight="1">
      <c r="A222" s="4" t="inlineStr">
        <is>
          <t>Сетевое оборудование</t>
        </is>
      </c>
      <c r="B222" s="4" t="inlineStr">
        <is>
          <t>PoE адаптер Ubiquiti UniFi PoE+ (30W)</t>
        </is>
      </c>
      <c r="C222" s="5" t="inlineStr"/>
      <c r="D222" s="5" t="n">
        <v>343936</v>
      </c>
      <c r="E222" s="5" t="n">
        <v>307086</v>
      </c>
      <c r="F222" s="5" t="n">
        <v>283464</v>
      </c>
      <c r="G222" s="5" t="inlineStr">
        <is>
          <t>UniFi UBIQUITI</t>
        </is>
      </c>
      <c r="H222" s="5">
        <f>HYPERLINK("https://itrix.uz/product/1416", "🔗 Купить продукт")</f>
        <v/>
      </c>
      <c r="I222" t="inlineStr">
        <is>
          <t>4-1416-1116</t>
        </is>
      </c>
    </row>
    <row r="223" ht="30" customHeight="1">
      <c r="A223" s="4" t="inlineStr">
        <is>
          <t>Сетевое оборудование</t>
        </is>
      </c>
      <c r="B223" s="4" t="inlineStr">
        <is>
          <t>Блок питания Ubiquiti POE-48-24W-G – надежное питание для устройств POE</t>
        </is>
      </c>
      <c r="C223" s="5" t="inlineStr"/>
      <c r="D223" s="5" t="n">
        <v>291023</v>
      </c>
      <c r="E223" s="5" t="n">
        <v>259842</v>
      </c>
      <c r="F223" s="5" t="n">
        <v>239776</v>
      </c>
      <c r="G223" s="5" t="inlineStr">
        <is>
          <t>UniFi UBIQUITI</t>
        </is>
      </c>
      <c r="H223" s="5">
        <f>HYPERLINK("https://itrix.uz/product/1363", "🔗 Купить продукт")</f>
        <v/>
      </c>
      <c r="I223" t="inlineStr">
        <is>
          <t>4-1363-1063</t>
        </is>
      </c>
    </row>
    <row r="224" ht="30" customHeight="1">
      <c r="A224" s="4" t="inlineStr">
        <is>
          <t>Сетевое оборудование</t>
        </is>
      </c>
      <c r="B224" s="4" t="inlineStr">
        <is>
          <t>Шлюз Ubiquiti Cloud Gateway Max (UCG-Max)</t>
        </is>
      </c>
      <c r="C224" s="5" t="inlineStr"/>
      <c r="D224" s="5" t="n">
        <v>4708571</v>
      </c>
      <c r="E224" s="5" t="n">
        <v>4204081</v>
      </c>
      <c r="F224" s="5" t="n">
        <v>3880739</v>
      </c>
      <c r="G224" s="5" t="inlineStr">
        <is>
          <t>UniFi UBIQUITI</t>
        </is>
      </c>
      <c r="H224" s="5">
        <f>HYPERLINK("https://itrix.uz/product/1405", "🔗 Купить продукт")</f>
        <v/>
      </c>
      <c r="I224" t="inlineStr">
        <is>
          <t>4-1405-1105</t>
        </is>
      </c>
    </row>
    <row r="225" ht="30" customHeight="1">
      <c r="A225" s="4" t="inlineStr">
        <is>
          <t>Сетевое оборудование</t>
        </is>
      </c>
      <c r="B225" s="4" t="inlineStr">
        <is>
          <t>PoE адаптер Ubiquiti UniFi PoE-AT (U-POE-at)</t>
        </is>
      </c>
      <c r="C225" s="5" t="inlineStr"/>
      <c r="D225" s="5" t="n">
        <v>343936</v>
      </c>
      <c r="E225" s="5" t="n">
        <v>307086</v>
      </c>
      <c r="F225" s="5" t="n">
        <v>283464</v>
      </c>
      <c r="G225" s="5" t="inlineStr">
        <is>
          <t>UniFi UBIQUITI</t>
        </is>
      </c>
      <c r="H225" s="5">
        <f>HYPERLINK("https://itrix.uz/product/1417", "🔗 Купить продукт")</f>
        <v/>
      </c>
      <c r="I225" t="inlineStr">
        <is>
          <t>4-1417-1117</t>
        </is>
      </c>
    </row>
    <row r="226" ht="30" customHeight="1">
      <c r="A226" s="4" t="inlineStr">
        <is>
          <t>Коммутаторы</t>
        </is>
      </c>
      <c r="B226" s="4" t="inlineStr">
        <is>
          <t>Коммутатор Ubiquiti USW-Pro-8-PoE</t>
        </is>
      </c>
      <c r="C226" s="5" t="inlineStr"/>
      <c r="D226" s="5" t="n">
        <v>5449214</v>
      </c>
      <c r="E226" s="5" t="n">
        <v>4865370</v>
      </c>
      <c r="F226" s="5" t="n">
        <v>4491101</v>
      </c>
      <c r="G226" s="5" t="inlineStr">
        <is>
          <t>UniFi UBIQUITI</t>
        </is>
      </c>
      <c r="H226" s="5">
        <f>HYPERLINK("https://itrix.uz/product/1430", "🔗 Купить продукт")</f>
        <v/>
      </c>
      <c r="I226" t="inlineStr">
        <is>
          <t>4-1430-1130</t>
        </is>
      </c>
    </row>
    <row r="227" ht="30" customHeight="1">
      <c r="A227" s="4" t="inlineStr">
        <is>
          <t>Сетевое оборудование</t>
        </is>
      </c>
      <c r="B227" s="4" t="inlineStr">
        <is>
          <t>Антенна Ubiquiti RocketDish 5G-30 Light Weight (RD-5G30-LW)</t>
        </is>
      </c>
      <c r="C227" s="5" t="inlineStr"/>
      <c r="D227" s="5" t="n">
        <v>2195617</v>
      </c>
      <c r="E227" s="5" t="n">
        <v>1960372</v>
      </c>
      <c r="F227" s="5" t="n">
        <v>1809496</v>
      </c>
      <c r="G227" s="5" t="inlineStr">
        <is>
          <t>UniFi UBIQUITI</t>
        </is>
      </c>
      <c r="H227" s="5">
        <f>HYPERLINK("https://itrix.uz/product/1365", "🔗 Купить продукт")</f>
        <v/>
      </c>
      <c r="I227" t="inlineStr">
        <is>
          <t>4-1365-1065</t>
        </is>
      </c>
    </row>
    <row r="228" ht="30" customHeight="1">
      <c r="A228" s="4" t="inlineStr">
        <is>
          <t>Сетевое оборудование</t>
        </is>
      </c>
      <c r="B228" s="4" t="inlineStr">
        <is>
          <t>Патч-кабель Ubiquiti U-Cable-Patch-0.3M-RJ45-Black</t>
        </is>
      </c>
      <c r="C228" s="5" t="inlineStr"/>
      <c r="D228" s="5" t="n">
        <v>68844</v>
      </c>
      <c r="E228" s="5" t="n">
        <v>61468</v>
      </c>
      <c r="F228" s="5" t="n">
        <v>56642</v>
      </c>
      <c r="G228" s="5" t="inlineStr">
        <is>
          <t>UniFi UBIQUITI</t>
        </is>
      </c>
      <c r="H228" s="5">
        <f>HYPERLINK("https://itrix.uz/product/1398", "🔗 Купить продукт")</f>
        <v/>
      </c>
      <c r="I228" t="inlineStr">
        <is>
          <t>4-1398-1098</t>
        </is>
      </c>
    </row>
    <row r="229" ht="30" customHeight="1">
      <c r="A229" s="4" t="inlineStr">
        <is>
          <t>Сетевое оборудование</t>
        </is>
      </c>
      <c r="B229" s="4" t="inlineStr">
        <is>
          <t>Шлюз Ubiquiti UCG-Ultra (Cloud Gateway Ultra)</t>
        </is>
      </c>
      <c r="C229" s="5" t="inlineStr"/>
      <c r="D229" s="5" t="n">
        <v>5078964</v>
      </c>
      <c r="E229" s="5" t="n">
        <v>4534789</v>
      </c>
      <c r="F229" s="5" t="n">
        <v>4185920</v>
      </c>
      <c r="G229" s="5" t="inlineStr">
        <is>
          <t>UniFi UBIQUITI</t>
        </is>
      </c>
      <c r="H229" s="5">
        <f>HYPERLINK("https://itrix.uz/product/1406", "🔗 Купить продукт")</f>
        <v/>
      </c>
      <c r="I229" t="inlineStr">
        <is>
          <t>4-1406-1106</t>
        </is>
      </c>
    </row>
    <row r="230" ht="30" customHeight="1">
      <c r="A230" s="4" t="inlineStr">
        <is>
          <t>Коммутаторы</t>
        </is>
      </c>
      <c r="B230" s="4" t="inlineStr">
        <is>
          <t>Коммутатор Cisco Catalyst C9200L-24P-4G-E</t>
        </is>
      </c>
      <c r="C230" s="5" t="inlineStr"/>
      <c r="D230" s="5" t="n">
        <v>54805072</v>
      </c>
      <c r="E230" s="5" t="n">
        <v>48933100</v>
      </c>
      <c r="F230" s="5" t="inlineStr"/>
      <c r="G230" s="5" t="inlineStr">
        <is>
          <t>Cisco</t>
        </is>
      </c>
      <c r="H230" s="5">
        <f>HYPERLINK("https://itrix.uz/product/1247", "🔗 Купить продукт")</f>
        <v/>
      </c>
      <c r="I230" t="inlineStr">
        <is>
          <t>4-1247-958</t>
        </is>
      </c>
    </row>
    <row r="231" ht="30" customHeight="1">
      <c r="A231" s="4" t="inlineStr">
        <is>
          <t>Сетевое оборудование</t>
        </is>
      </c>
      <c r="B231" s="4" t="inlineStr">
        <is>
          <t>Система бесперебойного питания Ubiquiti UniFi USP-RPS</t>
        </is>
      </c>
      <c r="C231" s="5" t="inlineStr"/>
      <c r="D231" s="5" t="n">
        <v>7856484</v>
      </c>
      <c r="E231" s="5" t="n">
        <v>7014718</v>
      </c>
      <c r="F231" s="5" t="n">
        <v>6475095</v>
      </c>
      <c r="G231" s="5" t="inlineStr">
        <is>
          <t>UniFi UBIQUITI</t>
        </is>
      </c>
      <c r="H231" s="5">
        <f>HYPERLINK("https://itrix.uz/product/1418", "🔗 Купить продукт")</f>
        <v/>
      </c>
      <c r="I231" t="inlineStr">
        <is>
          <t>4-1418-1118</t>
        </is>
      </c>
    </row>
    <row r="232" ht="30" customHeight="1">
      <c r="A232" s="4" t="inlineStr">
        <is>
          <t>Сетевое оборудование</t>
        </is>
      </c>
      <c r="B232" s="4" t="inlineStr">
        <is>
          <t>Источник бесперебойного питания APC Easy UPS SRV10KRIRK</t>
        </is>
      </c>
      <c r="C232" s="5" t="inlineStr"/>
      <c r="D232" s="5" t="n">
        <v>60304070</v>
      </c>
      <c r="E232" s="5" t="n">
        <v>53842920</v>
      </c>
      <c r="F232" s="5" t="inlineStr"/>
      <c r="G232" s="5" t="inlineStr">
        <is>
          <t>APC</t>
        </is>
      </c>
      <c r="H232" s="5">
        <f>HYPERLINK("https://itrix.uz/product/1167", "🔗 Купить продукт")</f>
        <v/>
      </c>
      <c r="I232" t="inlineStr">
        <is>
          <t>4-1167-897</t>
        </is>
      </c>
    </row>
    <row r="233" ht="30" customHeight="1">
      <c r="A233" s="4" t="inlineStr">
        <is>
          <t>Сетевое оборудование</t>
        </is>
      </c>
      <c r="B233" s="4" t="inlineStr">
        <is>
          <t xml:space="preserve">Источник бесперебойного питания APC Smart-UPS SRT1500RMXLI-NC </t>
        </is>
      </c>
      <c r="C233" s="5" t="inlineStr"/>
      <c r="D233" s="5" t="n">
        <v>36390682</v>
      </c>
      <c r="E233" s="5" t="n">
        <v>32491680</v>
      </c>
      <c r="F233" s="5" t="inlineStr"/>
      <c r="G233" s="5" t="inlineStr">
        <is>
          <t>APC</t>
        </is>
      </c>
      <c r="H233" s="5">
        <f>HYPERLINK("https://itrix.uz/product/1169", "🔗 Купить продукт")</f>
        <v/>
      </c>
      <c r="I233" t="inlineStr">
        <is>
          <t>4-1169-899</t>
        </is>
      </c>
    </row>
    <row r="234" ht="30" customHeight="1">
      <c r="A234" s="4" t="inlineStr">
        <is>
          <t>Сетевое оборудование</t>
        </is>
      </c>
      <c r="B234" s="4" t="inlineStr">
        <is>
          <t>Источник бесперебойного питания APC Easy UPS SR SRV1KRIRK</t>
        </is>
      </c>
      <c r="C234" s="5" t="inlineStr"/>
      <c r="D234" s="5" t="n">
        <v>7715098</v>
      </c>
      <c r="E234" s="5" t="n">
        <v>6888480</v>
      </c>
      <c r="F234" s="5" t="inlineStr"/>
      <c r="G234" s="5" t="inlineStr">
        <is>
          <t>APC</t>
        </is>
      </c>
      <c r="H234" s="5">
        <f>HYPERLINK("https://itrix.uz/product/1168", "🔗 Купить продукт")</f>
        <v/>
      </c>
      <c r="I234" t="inlineStr">
        <is>
          <t>4-1168-898</t>
        </is>
      </c>
    </row>
    <row r="235" ht="30" customHeight="1">
      <c r="A235" s="4" t="inlineStr">
        <is>
          <t>Коммутаторы</t>
        </is>
      </c>
      <c r="B235" s="4" t="inlineStr">
        <is>
          <t>Коммутатор Ubiquiti UniFi Switch 16 PoE (USW-16-POE)</t>
        </is>
      </c>
      <c r="C235" s="5" t="inlineStr"/>
      <c r="D235" s="5" t="n">
        <v>5264018</v>
      </c>
      <c r="E235" s="5" t="n">
        <v>4700016</v>
      </c>
      <c r="F235" s="5" t="n">
        <v>4338574</v>
      </c>
      <c r="G235" s="5" t="inlineStr">
        <is>
          <t>UniFi UBIQUITI</t>
        </is>
      </c>
      <c r="H235" s="5">
        <f>HYPERLINK("https://itrix.uz/product/1419", "🔗 Купить продукт")</f>
        <v/>
      </c>
      <c r="I235" t="inlineStr">
        <is>
          <t>4-1419-1119</t>
        </is>
      </c>
    </row>
    <row r="236" ht="30" customHeight="1">
      <c r="A236" s="4" t="inlineStr">
        <is>
          <t>Коммутаторы</t>
        </is>
      </c>
      <c r="B236" s="4" t="inlineStr">
        <is>
          <t>Коммутатор Ubiquiti UniFi Switch 24 PoE (USW-24-POE)</t>
        </is>
      </c>
      <c r="C236" s="5" t="inlineStr"/>
      <c r="D236" s="5" t="n">
        <v>6930644</v>
      </c>
      <c r="E236" s="5" t="n">
        <v>6188075</v>
      </c>
      <c r="F236" s="5" t="n">
        <v>5712079</v>
      </c>
      <c r="G236" s="5" t="inlineStr">
        <is>
          <t>UniFi UBIQUITI</t>
        </is>
      </c>
      <c r="H236" s="5">
        <f>HYPERLINK("https://itrix.uz/product/1420", "🔗 Купить продукт")</f>
        <v/>
      </c>
      <c r="I236" t="inlineStr">
        <is>
          <t>4-1420-1120</t>
        </is>
      </c>
    </row>
    <row r="237" ht="30" customHeight="1">
      <c r="A237" s="4" t="inlineStr">
        <is>
          <t>Сетевое оборудование</t>
        </is>
      </c>
      <c r="B237" s="4" t="inlineStr">
        <is>
          <t>IP-камера Ubiquiti UniFi Protect AI Pro UVC-Ai-Pro-B</t>
        </is>
      </c>
      <c r="C237" s="5" t="inlineStr"/>
      <c r="D237" s="5" t="n">
        <v>9628795</v>
      </c>
      <c r="E237" s="5" t="n">
        <v>8597138</v>
      </c>
      <c r="F237" s="5" t="n">
        <v>7935849</v>
      </c>
      <c r="G237" s="5" t="inlineStr">
        <is>
          <t>UniFi UBIQUITI</t>
        </is>
      </c>
      <c r="H237" s="5">
        <f>HYPERLINK("https://itrix.uz/product/1445", "🔗 Купить продукт")</f>
        <v/>
      </c>
      <c r="I237" t="inlineStr">
        <is>
          <t>4-1445-1145</t>
        </is>
      </c>
    </row>
    <row r="238" ht="30" customHeight="1">
      <c r="A238" s="4" t="inlineStr">
        <is>
          <t>Сетевое оборудование</t>
        </is>
      </c>
      <c r="B238" s="4" t="inlineStr">
        <is>
          <t>Источник бесперебойного питания APC Easy UPS SR SRV3KRIRK</t>
        </is>
      </c>
      <c r="C238" s="5" t="inlineStr"/>
      <c r="D238" s="5" t="n">
        <v>14320723</v>
      </c>
      <c r="E238" s="5" t="n">
        <v>12786360</v>
      </c>
      <c r="F238" s="5" t="inlineStr"/>
      <c r="G238" s="5" t="inlineStr">
        <is>
          <t>APC</t>
        </is>
      </c>
      <c r="H238" s="5">
        <f>HYPERLINK("https://itrix.uz/product/1170", "🔗 Купить продукт")</f>
        <v/>
      </c>
      <c r="I238" t="inlineStr">
        <is>
          <t>4-1170-900</t>
        </is>
      </c>
    </row>
    <row r="239" ht="30" customHeight="1">
      <c r="A239" s="4" t="inlineStr">
        <is>
          <t>Сетевое оборудование</t>
        </is>
      </c>
      <c r="B239" s="4" t="inlineStr">
        <is>
          <t>Источник бесперебойного питания APC Easy UPS SR SRV6KRIRK</t>
        </is>
      </c>
      <c r="C239" s="5" t="inlineStr"/>
      <c r="D239" s="5" t="n">
        <v>39975130</v>
      </c>
      <c r="E239" s="5" t="n">
        <v>35692080</v>
      </c>
      <c r="F239" s="5" t="inlineStr"/>
      <c r="G239" s="5" t="inlineStr">
        <is>
          <t>APC</t>
        </is>
      </c>
      <c r="H239" s="5">
        <f>HYPERLINK("https://itrix.uz/product/1175", "🔗 Купить продукт")</f>
        <v/>
      </c>
      <c r="I239" t="inlineStr">
        <is>
          <t>4-1175-905</t>
        </is>
      </c>
    </row>
    <row r="240" ht="30" customHeight="1">
      <c r="A240" s="4" t="inlineStr">
        <is>
          <t>Сетевое оборудование</t>
        </is>
      </c>
      <c r="B240" s="4" t="inlineStr">
        <is>
          <t>Гарнитура Cisco HS-W-322-C-USB</t>
        </is>
      </c>
      <c r="C240" s="5" t="inlineStr"/>
      <c r="D240" s="5" t="n">
        <v>3874618</v>
      </c>
      <c r="E240" s="5" t="n">
        <v>3459480</v>
      </c>
      <c r="F240" s="5" t="inlineStr"/>
      <c r="G240" s="5" t="inlineStr">
        <is>
          <t>Cisco</t>
        </is>
      </c>
      <c r="H240" s="5">
        <f>HYPERLINK("https://itrix.uz/product/1179", "🔗 Купить продукт")</f>
        <v/>
      </c>
      <c r="I240" t="inlineStr">
        <is>
          <t>4-1179-909</t>
        </is>
      </c>
    </row>
    <row r="241" ht="30" customHeight="1">
      <c r="A241" s="4" t="inlineStr">
        <is>
          <t>Сетевое оборудование</t>
        </is>
      </c>
      <c r="B241" s="4" t="inlineStr">
        <is>
          <t>Патч-кабель Ubiquiti U-Cable-Patch-0.3M-RJ45-Blue</t>
        </is>
      </c>
      <c r="C241" s="5" t="inlineStr"/>
      <c r="D241" s="5" t="n">
        <v>68844</v>
      </c>
      <c r="E241" s="5" t="n">
        <v>61468</v>
      </c>
      <c r="F241" s="5" t="n">
        <v>56642</v>
      </c>
      <c r="G241" s="5" t="inlineStr">
        <is>
          <t>UniFi UBIQUITI</t>
        </is>
      </c>
      <c r="H241" s="5">
        <f>HYPERLINK("https://itrix.uz/product/1399", "🔗 Купить продукт")</f>
        <v/>
      </c>
      <c r="I241" t="inlineStr">
        <is>
          <t>4-1399-1099</t>
        </is>
      </c>
    </row>
    <row r="242" ht="30" customHeight="1">
      <c r="A242" s="4" t="inlineStr">
        <is>
          <t>Сетевое оборудование</t>
        </is>
      </c>
      <c r="B242" s="4" t="inlineStr">
        <is>
          <t>Веб-камера Jabra PanaCast (8100-119)</t>
        </is>
      </c>
      <c r="C242" s="5" t="inlineStr"/>
      <c r="D242" s="5" t="n">
        <v>10668000</v>
      </c>
      <c r="E242" s="5" t="n">
        <v>9525000</v>
      </c>
      <c r="F242" s="5" t="inlineStr"/>
      <c r="G242" s="5" t="inlineStr">
        <is>
          <t>JABRA</t>
        </is>
      </c>
      <c r="H242" s="5">
        <f>HYPERLINK("https://itrix.uz/product/1198", "🔗 Купить продукт")</f>
        <v/>
      </c>
      <c r="I242" t="inlineStr">
        <is>
          <t>4-1198-928</t>
        </is>
      </c>
    </row>
    <row r="243" ht="30" customHeight="1">
      <c r="A243" s="4" t="inlineStr">
        <is>
          <t>Сетевое оборудование</t>
        </is>
      </c>
      <c r="B243" s="4" t="inlineStr">
        <is>
          <t>Контроллер Ubiquiti UniFi Cloud Key Gen2 Plus (UCK-G2-SSD)</t>
        </is>
      </c>
      <c r="C243" s="5" t="inlineStr"/>
      <c r="D243" s="5" t="n">
        <v>4391091</v>
      </c>
      <c r="E243" s="5" t="n">
        <v>3920617</v>
      </c>
      <c r="F243" s="5" t="n">
        <v>3619119</v>
      </c>
      <c r="G243" s="5" t="inlineStr">
        <is>
          <t>UniFi UBIQUITI</t>
        </is>
      </c>
      <c r="H243" s="5">
        <f>HYPERLINK("https://itrix.uz/product/1407", "🔗 Купить продукт")</f>
        <v/>
      </c>
      <c r="I243" t="inlineStr">
        <is>
          <t>4-1407-1107</t>
        </is>
      </c>
    </row>
    <row r="244" ht="30" customHeight="1">
      <c r="A244" s="4" t="inlineStr">
        <is>
          <t>Сетевое оборудование</t>
        </is>
      </c>
      <c r="B244" s="4" t="inlineStr">
        <is>
          <t>Сетевая карта для 1-фаз ИБП APC AP9544 Easy</t>
        </is>
      </c>
      <c r="C244" s="5" t="inlineStr"/>
      <c r="D244" s="5" t="n">
        <v>233843</v>
      </c>
      <c r="E244" s="5" t="n">
        <v>208788</v>
      </c>
      <c r="F244" s="5" t="inlineStr"/>
      <c r="G244" s="5" t="inlineStr">
        <is>
          <t>APC</t>
        </is>
      </c>
      <c r="H244" s="5">
        <f>HYPERLINK("https://itrix.uz/product/1210", "🔗 Купить продукт")</f>
        <v/>
      </c>
      <c r="I244" t="inlineStr">
        <is>
          <t>4-1210-940</t>
        </is>
      </c>
    </row>
    <row r="245" ht="30" customHeight="1">
      <c r="A245" s="4" t="inlineStr">
        <is>
          <t>Сетевое оборудование</t>
        </is>
      </c>
      <c r="B245" s="4" t="inlineStr">
        <is>
          <t>SFP+ Модуль MikroTik S+AO0005 – высокоскоростное соединение</t>
        </is>
      </c>
      <c r="C245" s="5" t="inlineStr"/>
      <c r="D245" s="5" t="n">
        <v>872927</v>
      </c>
      <c r="E245" s="5" t="n">
        <v>779399</v>
      </c>
      <c r="F245" s="5" t="n">
        <v>719455</v>
      </c>
      <c r="G245" s="5" t="inlineStr">
        <is>
          <t>Mikrotik</t>
        </is>
      </c>
      <c r="H245" s="5">
        <f>HYPERLINK("https://itrix.uz/product/1334", "🔗 Купить продукт")</f>
        <v/>
      </c>
      <c r="I245" t="inlineStr">
        <is>
          <t>4-1334-1035</t>
        </is>
      </c>
    </row>
    <row r="246" ht="30" customHeight="1">
      <c r="A246" s="4" t="inlineStr">
        <is>
          <t>Коммутаторы</t>
        </is>
      </c>
      <c r="B246" s="4" t="inlineStr">
        <is>
          <t>Управляемый коммутатор Ubiquiti Unifi Switch 48 PoE</t>
        </is>
      </c>
      <c r="C246" s="5" t="inlineStr"/>
      <c r="D246" s="5" t="n">
        <v>10369438</v>
      </c>
      <c r="E246" s="5" t="n">
        <v>9258427</v>
      </c>
      <c r="F246" s="5" t="n">
        <v>8546211</v>
      </c>
      <c r="G246" s="5" t="inlineStr">
        <is>
          <t>UniFi UBIQUITI</t>
        </is>
      </c>
      <c r="H246" s="5">
        <f>HYPERLINK("https://itrix.uz/product/1421", "🔗 Купить продукт")</f>
        <v/>
      </c>
      <c r="I246" t="inlineStr">
        <is>
          <t>4-1421-1121</t>
        </is>
      </c>
    </row>
    <row r="247" ht="30" customHeight="1">
      <c r="A247" s="4" t="inlineStr">
        <is>
          <t>Сетевое оборудование</t>
        </is>
      </c>
      <c r="B247" s="4" t="inlineStr">
        <is>
          <t>Шлюз Ubiquiti Dream Machine Pro Max (UDM-Pro-Max)</t>
        </is>
      </c>
      <c r="C247" s="5" t="inlineStr"/>
      <c r="D247" s="5" t="n">
        <v>11004255</v>
      </c>
      <c r="E247" s="5" t="n">
        <v>9825228</v>
      </c>
      <c r="F247" s="5" t="n">
        <v>9069451</v>
      </c>
      <c r="G247" s="5" t="inlineStr">
        <is>
          <t>UniFi UBIQUITI</t>
        </is>
      </c>
      <c r="H247" s="5">
        <f>HYPERLINK("https://itrix.uz/product/1409", "🔗 Купить продукт")</f>
        <v/>
      </c>
      <c r="I247" t="inlineStr">
        <is>
          <t>4-1409-1109</t>
        </is>
      </c>
    </row>
    <row r="248" ht="30" customHeight="1">
      <c r="A248" s="4" t="inlineStr">
        <is>
          <t>Коммутаторы</t>
        </is>
      </c>
      <c r="B248" s="4" t="inlineStr">
        <is>
          <t>Коммутатор Ubiquiti UniFi Switch Aggregation (USW-Aggregation)</t>
        </is>
      </c>
      <c r="C248" s="5" t="inlineStr"/>
      <c r="D248" s="5" t="n">
        <v>5396301</v>
      </c>
      <c r="E248" s="5" t="n">
        <v>4818126</v>
      </c>
      <c r="F248" s="5" t="n">
        <v>4447540</v>
      </c>
      <c r="G248" s="5" t="inlineStr">
        <is>
          <t>UniFi UBIQUITI</t>
        </is>
      </c>
      <c r="H248" s="5">
        <f>HYPERLINK("https://itrix.uz/product/1422", "🔗 Купить продукт")</f>
        <v/>
      </c>
      <c r="I248" t="inlineStr">
        <is>
          <t>4-1422-1122</t>
        </is>
      </c>
    </row>
    <row r="249" ht="30" customHeight="1">
      <c r="A249" s="4" t="inlineStr">
        <is>
          <t>Коммутаторы</t>
        </is>
      </c>
      <c r="B249" s="4" t="inlineStr">
        <is>
          <t>Коммутатор Ubiquiti UniFi Switch Aggregation Pro</t>
        </is>
      </c>
      <c r="C249" s="5" t="inlineStr"/>
      <c r="D249" s="5" t="n">
        <v>16136132</v>
      </c>
      <c r="E249" s="5" t="n">
        <v>14407261</v>
      </c>
      <c r="F249" s="5" t="n">
        <v>13299059</v>
      </c>
      <c r="G249" s="5" t="inlineStr">
        <is>
          <t>UniFi UBIQUITI</t>
        </is>
      </c>
      <c r="H249" s="5">
        <f>HYPERLINK("https://itrix.uz/product/1431", "🔗 Купить продукт")</f>
        <v/>
      </c>
      <c r="I249" t="inlineStr">
        <is>
          <t>4-1431-1131</t>
        </is>
      </c>
    </row>
    <row r="250" ht="30" customHeight="1">
      <c r="A250" s="4" t="inlineStr">
        <is>
          <t>Сетевое оборудование</t>
        </is>
      </c>
      <c r="B250" s="4" t="inlineStr">
        <is>
          <t>Патч-кабель Ubiquiti U-Cable-Patch-0.3M-RJ45-White</t>
        </is>
      </c>
      <c r="C250" s="5" t="inlineStr"/>
      <c r="D250" s="5" t="n">
        <v>68844</v>
      </c>
      <c r="E250" s="5" t="n">
        <v>61468</v>
      </c>
      <c r="F250" s="5" t="n">
        <v>56642</v>
      </c>
      <c r="G250" s="5" t="inlineStr">
        <is>
          <t>UniFi UBIQUITI</t>
        </is>
      </c>
      <c r="H250" s="5">
        <f>HYPERLINK("https://itrix.uz/product/1400", "🔗 Купить продукт")</f>
        <v/>
      </c>
      <c r="I250" t="inlineStr">
        <is>
          <t>4-1400-1100</t>
        </is>
      </c>
    </row>
    <row r="251" ht="30" customHeight="1">
      <c r="A251" s="4" t="inlineStr">
        <is>
          <t>Коммутаторы</t>
        </is>
      </c>
      <c r="B251" s="4" t="inlineStr">
        <is>
          <t>Коммутатор Cisco C1000-24T-4X-L</t>
        </is>
      </c>
      <c r="C251" s="5" t="inlineStr"/>
      <c r="D251" s="5" t="n">
        <v>50779680</v>
      </c>
      <c r="E251" s="5" t="n">
        <v>45339000</v>
      </c>
      <c r="F251" s="5" t="inlineStr"/>
      <c r="G251" s="5" t="inlineStr">
        <is>
          <t>Cisco</t>
        </is>
      </c>
      <c r="H251" s="5">
        <f>HYPERLINK("https://itrix.uz/product/1248", "🔗 Купить продукт")</f>
        <v/>
      </c>
      <c r="I251" t="inlineStr">
        <is>
          <t>4-1248-959</t>
        </is>
      </c>
    </row>
    <row r="252" ht="30" customHeight="1">
      <c r="A252" s="4" t="inlineStr">
        <is>
          <t>Сетевое оборудование</t>
        </is>
      </c>
      <c r="B252" s="4" t="inlineStr">
        <is>
          <t xml:space="preserve">Кабель MikroTik XQ+DA0001 </t>
        </is>
      </c>
      <c r="C252" s="5" t="inlineStr"/>
      <c r="D252" s="5" t="n">
        <v>661274</v>
      </c>
      <c r="E252" s="5" t="n">
        <v>590423</v>
      </c>
      <c r="F252" s="5" t="n">
        <v>545084</v>
      </c>
      <c r="G252" s="5" t="inlineStr">
        <is>
          <t>Mikrotik</t>
        </is>
      </c>
      <c r="H252" s="5">
        <f>HYPERLINK("https://itrix.uz/product/1338", "🔗 Купить продукт")</f>
        <v/>
      </c>
      <c r="I252" t="inlineStr">
        <is>
          <t>4-1338-1039</t>
        </is>
      </c>
    </row>
    <row r="253" ht="30" customHeight="1">
      <c r="A253" s="4" t="inlineStr">
        <is>
          <t>Коммутаторы</t>
        </is>
      </c>
      <c r="B253" s="4" t="inlineStr">
        <is>
          <t>Сетевой коммутатор Grandstream GWN7830</t>
        </is>
      </c>
      <c r="C253" s="5" t="inlineStr"/>
      <c r="D253" s="5" t="n">
        <v>3556000</v>
      </c>
      <c r="E253" s="5" t="n">
        <v>3175000</v>
      </c>
      <c r="F253" s="5" t="inlineStr"/>
      <c r="G253" s="5" t="inlineStr">
        <is>
          <t>Grandstream</t>
        </is>
      </c>
      <c r="H253" s="5">
        <f>HYPERLINK("https://itrix.uz/product/1269", "🔗 Купить продукт")</f>
        <v/>
      </c>
      <c r="I253" t="inlineStr">
        <is>
          <t>4-1269-980</t>
        </is>
      </c>
    </row>
    <row r="254" ht="30" customHeight="1">
      <c r="A254" s="4" t="inlineStr">
        <is>
          <t>Сетевое оборудование</t>
        </is>
      </c>
      <c r="B254" s="4" t="inlineStr">
        <is>
          <t>IP шлюз Grandstream GXW4232</t>
        </is>
      </c>
      <c r="C254" s="5" t="inlineStr"/>
      <c r="D254" s="5" t="n">
        <v>19612051</v>
      </c>
      <c r="E254" s="5" t="n">
        <v>17510760</v>
      </c>
      <c r="F254" s="5" t="inlineStr"/>
      <c r="G254" s="5" t="inlineStr">
        <is>
          <t>Grandstream</t>
        </is>
      </c>
      <c r="H254" s="5">
        <f>HYPERLINK("https://itrix.uz/product/1273", "🔗 Купить продукт")</f>
        <v/>
      </c>
      <c r="I254" t="inlineStr">
        <is>
          <t>4-1273-984</t>
        </is>
      </c>
    </row>
    <row r="255" ht="30" customHeight="1">
      <c r="A255" s="4" t="inlineStr">
        <is>
          <t>Коммутаторы</t>
        </is>
      </c>
      <c r="B255" s="4" t="inlineStr">
        <is>
          <t>Коммутатор Cisco CBS220-48FP-4X-EU</t>
        </is>
      </c>
      <c r="C255" s="5" t="inlineStr"/>
      <c r="D255" s="5" t="n">
        <v>53937408</v>
      </c>
      <c r="E255" s="5" t="n">
        <v>48158400</v>
      </c>
      <c r="F255" s="5" t="inlineStr"/>
      <c r="G255" s="5" t="inlineStr">
        <is>
          <t>Cisco</t>
        </is>
      </c>
      <c r="H255" s="5">
        <f>HYPERLINK("https://itrix.uz/product/1157", "🔗 Купить продукт")</f>
        <v/>
      </c>
      <c r="I255" t="inlineStr">
        <is>
          <t>4-1157-888</t>
        </is>
      </c>
    </row>
    <row r="256" ht="30" customHeight="1">
      <c r="A256" s="4" t="inlineStr">
        <is>
          <t>Коммутаторы</t>
        </is>
      </c>
      <c r="B256" s="4" t="inlineStr">
        <is>
          <t>Fortinet FortiSwitch FS-108F-FPOE 8G 2SFP PoE Switch</t>
        </is>
      </c>
      <c r="C256" s="5" t="inlineStr"/>
      <c r="D256" s="5" t="n">
        <v>11094720</v>
      </c>
      <c r="E256" s="5" t="n">
        <v>9906000</v>
      </c>
      <c r="F256" s="5" t="inlineStr"/>
      <c r="G256" s="5" t="inlineStr">
        <is>
          <t>Fortinet</t>
        </is>
      </c>
      <c r="H256" s="5">
        <f>HYPERLINK("https://itrix.uz/product/175", "🔗 Купить продукт")</f>
        <v/>
      </c>
      <c r="I256" t="inlineStr">
        <is>
          <t>4-175-177</t>
        </is>
      </c>
    </row>
    <row r="257" ht="30" customHeight="1">
      <c r="A257" s="4" t="inlineStr">
        <is>
          <t>Коммутаторы</t>
        </is>
      </c>
      <c r="B257" s="4" t="inlineStr">
        <is>
          <t>Коммутатор Cisco C9300-24T-E</t>
        </is>
      </c>
      <c r="C257" s="5" t="inlineStr"/>
      <c r="D257" s="5" t="n">
        <v>98714560</v>
      </c>
      <c r="E257" s="5" t="n">
        <v>88138000</v>
      </c>
      <c r="F257" s="5" t="inlineStr"/>
      <c r="G257" s="5" t="inlineStr">
        <is>
          <t>Cisco</t>
        </is>
      </c>
      <c r="H257" s="5">
        <f>HYPERLINK("https://itrix.uz/product/1249", "🔗 Купить продукт")</f>
        <v/>
      </c>
      <c r="I257" t="inlineStr">
        <is>
          <t>4-1249-960</t>
        </is>
      </c>
    </row>
    <row r="258" ht="30" customHeight="1">
      <c r="A258" s="4" t="inlineStr">
        <is>
          <t>Сетевое оборудование</t>
        </is>
      </c>
      <c r="B258" s="4" t="inlineStr">
        <is>
          <t xml:space="preserve">Веб-камера Jabra PanaCast 20 </t>
        </is>
      </c>
      <c r="C258" s="5" t="inlineStr"/>
      <c r="D258" s="5" t="n">
        <v>5120640</v>
      </c>
      <c r="E258" s="5" t="n">
        <v>4572000</v>
      </c>
      <c r="F258" s="5" t="inlineStr"/>
      <c r="G258" s="5" t="inlineStr">
        <is>
          <t>JABRA</t>
        </is>
      </c>
      <c r="H258" s="5">
        <f>HYPERLINK("https://itrix.uz/product/1199", "🔗 Купить продукт")</f>
        <v/>
      </c>
      <c r="I258" t="inlineStr">
        <is>
          <t>4-1199-929</t>
        </is>
      </c>
    </row>
    <row r="259" ht="30" customHeight="1">
      <c r="A259" s="4" t="inlineStr">
        <is>
          <t>Сетевое оборудование</t>
        </is>
      </c>
      <c r="B259" s="4" t="inlineStr">
        <is>
          <t>Кабель прямого подключения MikroTik XQ+DA0003</t>
        </is>
      </c>
      <c r="C259" s="5" t="inlineStr"/>
      <c r="D259" s="5" t="n">
        <v>872927</v>
      </c>
      <c r="E259" s="5" t="n">
        <v>779399</v>
      </c>
      <c r="F259" s="5" t="n">
        <v>719455</v>
      </c>
      <c r="G259" s="5" t="inlineStr">
        <is>
          <t>Mikrotik</t>
        </is>
      </c>
      <c r="H259" s="5">
        <f>HYPERLINK("https://itrix.uz/product/1339", "🔗 Купить продукт")</f>
        <v/>
      </c>
      <c r="I259" t="inlineStr">
        <is>
          <t>4-1339-1040</t>
        </is>
      </c>
    </row>
    <row r="260" ht="30" customHeight="1">
      <c r="A260" s="4" t="inlineStr">
        <is>
          <t>Коммутаторы</t>
        </is>
      </c>
      <c r="B260" s="4" t="inlineStr">
        <is>
          <t>Коммутатор Ubiquiti USW-Pro-Max-24-PoE</t>
        </is>
      </c>
      <c r="C260" s="5" t="inlineStr"/>
      <c r="D260" s="5" t="n">
        <v>12379858</v>
      </c>
      <c r="E260" s="5" t="n">
        <v>11053445</v>
      </c>
      <c r="F260" s="5" t="n">
        <v>10203180</v>
      </c>
      <c r="G260" s="5" t="inlineStr">
        <is>
          <t>UniFi UBIQUITI</t>
        </is>
      </c>
      <c r="H260" s="5">
        <f>HYPERLINK("https://itrix.uz/product/1433", "🔗 Купить продукт")</f>
        <v/>
      </c>
      <c r="I260" t="inlineStr">
        <is>
          <t>4-1433-1133</t>
        </is>
      </c>
    </row>
    <row r="261" ht="30" customHeight="1">
      <c r="A261" s="4" t="inlineStr">
        <is>
          <t>Сетевое оборудование</t>
        </is>
      </c>
      <c r="B261" s="4" t="inlineStr">
        <is>
          <t>Кабель прямого подключения MikroTik XS+DA0001</t>
        </is>
      </c>
      <c r="C261" s="5" t="inlineStr"/>
      <c r="D261" s="5" t="n">
        <v>502534</v>
      </c>
      <c r="E261" s="5" t="n">
        <v>448691</v>
      </c>
      <c r="F261" s="5" t="n">
        <v>414274</v>
      </c>
      <c r="G261" s="5" t="inlineStr">
        <is>
          <t>Mikrotik</t>
        </is>
      </c>
      <c r="H261" s="5">
        <f>HYPERLINK("https://itrix.uz/product/1340", "🔗 Купить продукт")</f>
        <v/>
      </c>
      <c r="I261" t="inlineStr">
        <is>
          <t>4-1340-1041</t>
        </is>
      </c>
    </row>
    <row r="262" ht="30" customHeight="1">
      <c r="A262" s="4" t="inlineStr">
        <is>
          <t>Сетевое оборудование</t>
        </is>
      </c>
      <c r="B262" s="4" t="inlineStr">
        <is>
          <t>Комплект батарей (линейка) для Easy UPS 3S</t>
        </is>
      </c>
      <c r="C262" s="5" t="inlineStr"/>
      <c r="D262" s="5" t="n">
        <v>20624800</v>
      </c>
      <c r="E262" s="5" t="n">
        <v>18415000</v>
      </c>
      <c r="F262" s="5" t="inlineStr"/>
      <c r="G262" s="5" t="inlineStr">
        <is>
          <t>APC</t>
        </is>
      </c>
      <c r="H262" s="5">
        <f>HYPERLINK("https://itrix.uz/product/1233", "🔗 Купить продукт")</f>
        <v/>
      </c>
      <c r="I262" t="inlineStr">
        <is>
          <t>4-1233-944</t>
        </is>
      </c>
    </row>
    <row r="263" ht="30" customHeight="1">
      <c r="A263" s="4" t="inlineStr">
        <is>
          <t>Коммутаторы</t>
        </is>
      </c>
      <c r="B263" s="4" t="inlineStr">
        <is>
          <t>Управляемый коммутатор Grandstream GWN7831</t>
        </is>
      </c>
      <c r="C263" s="5" t="inlineStr"/>
      <c r="D263" s="5" t="n">
        <v>7168896</v>
      </c>
      <c r="E263" s="5" t="n">
        <v>6400800</v>
      </c>
      <c r="F263" s="5" t="inlineStr"/>
      <c r="G263" s="5" t="inlineStr">
        <is>
          <t>Grandstream</t>
        </is>
      </c>
      <c r="H263" s="5">
        <f>HYPERLINK("https://itrix.uz/product/1270", "🔗 Купить продукт")</f>
        <v/>
      </c>
      <c r="I263" t="inlineStr">
        <is>
          <t>4-1270-981</t>
        </is>
      </c>
    </row>
    <row r="264" ht="30" customHeight="1">
      <c r="A264" s="4" t="inlineStr">
        <is>
          <t>Коммутаторы</t>
        </is>
      </c>
      <c r="B264" s="4" t="inlineStr">
        <is>
          <t xml:space="preserve">Управляемый коммутатор Grandsteam GWN7806(P) </t>
        </is>
      </c>
      <c r="C264" s="5" t="inlineStr"/>
      <c r="D264" s="5" t="n">
        <v>10992307</v>
      </c>
      <c r="E264" s="5" t="n">
        <v>9814560</v>
      </c>
      <c r="F264" s="5" t="inlineStr"/>
      <c r="G264" s="5" t="inlineStr">
        <is>
          <t>Grandstream</t>
        </is>
      </c>
      <c r="H264" s="5">
        <f>HYPERLINK("https://itrix.uz/product/973", "🔗 Купить продукт")</f>
        <v/>
      </c>
      <c r="I264" t="inlineStr">
        <is>
          <t>4-973-862</t>
        </is>
      </c>
    </row>
    <row r="265" ht="30" customHeight="1">
      <c r="A265" s="4" t="inlineStr">
        <is>
          <t>Сетевое оборудование</t>
        </is>
      </c>
      <c r="B265" s="4" t="inlineStr">
        <is>
          <t>Патч-кабель Ubiquiti U-Cable-Patch-1M-RJ45-White</t>
        </is>
      </c>
      <c r="C265" s="5" t="inlineStr"/>
      <c r="D265" s="5" t="n">
        <v>60879</v>
      </c>
      <c r="E265" s="5" t="n">
        <v>54356</v>
      </c>
      <c r="F265" s="5" t="n">
        <v>50165</v>
      </c>
      <c r="G265" s="5" t="inlineStr">
        <is>
          <t>UniFi UBIQUITI</t>
        </is>
      </c>
      <c r="H265" s="5">
        <f>HYPERLINK("https://itrix.uz/product/1401", "🔗 Купить продукт")</f>
        <v/>
      </c>
      <c r="I265" t="inlineStr">
        <is>
          <t>4-1401-1101</t>
        </is>
      </c>
    </row>
    <row r="266" ht="30" customHeight="1">
      <c r="A266" s="4" t="inlineStr">
        <is>
          <t>Коммутаторы</t>
        </is>
      </c>
      <c r="B266" s="4" t="inlineStr">
        <is>
          <t>Неуправляемый коммутатор Grandstream GWN7701</t>
        </is>
      </c>
      <c r="C266" s="5" t="inlineStr"/>
      <c r="D266" s="5" t="n">
        <v>375514</v>
      </c>
      <c r="E266" s="5" t="n">
        <v>335280</v>
      </c>
      <c r="F266" s="5" t="inlineStr"/>
      <c r="G266" s="5" t="inlineStr">
        <is>
          <t>Grandstream</t>
        </is>
      </c>
      <c r="H266" s="5">
        <f>HYPERLINK("https://itrix.uz/product/955", "🔗 Купить продукт")</f>
        <v/>
      </c>
      <c r="I266" t="inlineStr">
        <is>
          <t>4-955-844</t>
        </is>
      </c>
    </row>
    <row r="267" ht="30" customHeight="1">
      <c r="A267" s="4" t="inlineStr">
        <is>
          <t>Коммутаторы</t>
        </is>
      </c>
      <c r="B267" s="4" t="inlineStr">
        <is>
          <t>Коммутатор Grandstream GWN7701PA</t>
        </is>
      </c>
      <c r="C267" s="5" t="inlineStr"/>
      <c r="D267" s="5" t="n">
        <v>1638605</v>
      </c>
      <c r="E267" s="5" t="n">
        <v>1463040</v>
      </c>
      <c r="F267" s="5" t="inlineStr"/>
      <c r="G267" s="5" t="inlineStr">
        <is>
          <t>Grandstream</t>
        </is>
      </c>
      <c r="H267" s="5">
        <f>HYPERLINK("https://itrix.uz/product/958", "🔗 Купить продукт")</f>
        <v/>
      </c>
      <c r="I267" t="inlineStr">
        <is>
          <t>4-958-847</t>
        </is>
      </c>
    </row>
    <row r="268" ht="30" customHeight="1">
      <c r="A268" s="4" t="inlineStr">
        <is>
          <t>Сетевое оборудование</t>
        </is>
      </c>
      <c r="B268" s="4" t="inlineStr">
        <is>
          <t>Инжектор Grandstream PoE+ 24 Вт (гигабитный, 48В/500мА адаптер EU)</t>
        </is>
      </c>
      <c r="C268" s="5" t="inlineStr"/>
      <c r="D268" s="5" t="n">
        <v>443789</v>
      </c>
      <c r="E268" s="5" t="n">
        <v>396240</v>
      </c>
      <c r="F268" s="5" t="inlineStr"/>
      <c r="G268" s="5" t="inlineStr">
        <is>
          <t>Grandstream</t>
        </is>
      </c>
      <c r="H268" s="5">
        <f>HYPERLINK("https://itrix.uz/product/1243", "🔗 Купить продукт")</f>
        <v/>
      </c>
      <c r="I268" t="inlineStr">
        <is>
          <t>4-1243-954</t>
        </is>
      </c>
    </row>
    <row r="269" ht="30" customHeight="1">
      <c r="A269" s="4" t="inlineStr">
        <is>
          <t>Сетевое оборудование</t>
        </is>
      </c>
      <c r="B269" s="4" t="inlineStr">
        <is>
          <t>Кабель интерфейсный Cisco STACK-T1-50CM для стекирования коммутаторов</t>
        </is>
      </c>
      <c r="C269" s="5" t="inlineStr"/>
      <c r="D269" s="5" t="n">
        <v>2184806</v>
      </c>
      <c r="E269" s="5" t="n">
        <v>1950720</v>
      </c>
      <c r="F269" s="5" t="inlineStr"/>
      <c r="G269" s="5" t="inlineStr">
        <is>
          <t>Cisco</t>
        </is>
      </c>
      <c r="H269" s="5">
        <f>HYPERLINK("https://itrix.uz/product/1244", "🔗 Купить продукт")</f>
        <v/>
      </c>
      <c r="I269" t="inlineStr">
        <is>
          <t>4-1244-955</t>
        </is>
      </c>
    </row>
    <row r="270" ht="30" customHeight="1">
      <c r="A270" s="4" t="inlineStr">
        <is>
          <t>Коммутаторы</t>
        </is>
      </c>
      <c r="B270" s="4" t="inlineStr">
        <is>
          <t>Коммутатор Cisco CBS220-24FP-4X-EU</t>
        </is>
      </c>
      <c r="C270" s="5" t="inlineStr"/>
      <c r="D270" s="5" t="n">
        <v>18789904</v>
      </c>
      <c r="E270" s="5" t="n">
        <v>16776700</v>
      </c>
      <c r="F270" s="5" t="inlineStr"/>
      <c r="G270" s="5" t="inlineStr">
        <is>
          <t>Cisco</t>
        </is>
      </c>
      <c r="H270" s="5">
        <f>HYPERLINK("https://itrix.uz/product/1245", "🔗 Купить продукт")</f>
        <v/>
      </c>
      <c r="I270" t="inlineStr">
        <is>
          <t>4-1245-956</t>
        </is>
      </c>
    </row>
    <row r="271" ht="30" customHeight="1">
      <c r="A271" s="4" t="inlineStr">
        <is>
          <t>Коммутаторы</t>
        </is>
      </c>
      <c r="B271" s="4" t="inlineStr">
        <is>
          <t>Коммутатор Cisco C9300L-48P-4X-E</t>
        </is>
      </c>
      <c r="C271" s="5" t="inlineStr"/>
      <c r="D271" s="5" t="n">
        <v>194157600</v>
      </c>
      <c r="E271" s="5" t="n">
        <v>173355000</v>
      </c>
      <c r="F271" s="5" t="inlineStr"/>
      <c r="G271" s="5" t="inlineStr">
        <is>
          <t>Cisco</t>
        </is>
      </c>
      <c r="H271" s="5">
        <f>HYPERLINK("https://itrix.uz/product/1250", "🔗 Купить продукт")</f>
        <v/>
      </c>
      <c r="I271" t="inlineStr">
        <is>
          <t>4-1250-961</t>
        </is>
      </c>
    </row>
    <row r="272" ht="30" customHeight="1">
      <c r="A272" s="4" t="inlineStr">
        <is>
          <t>Сетевое оборудование</t>
        </is>
      </c>
      <c r="B272" s="4" t="inlineStr">
        <is>
          <t>Модуль стекирования Cisco C9200L-STACK-KIT</t>
        </is>
      </c>
      <c r="C272" s="5" t="inlineStr"/>
      <c r="D272" s="5" t="n">
        <v>26897584</v>
      </c>
      <c r="E272" s="5" t="n">
        <v>24015700</v>
      </c>
      <c r="F272" s="5" t="inlineStr"/>
      <c r="G272" s="5" t="inlineStr">
        <is>
          <t>Cisco</t>
        </is>
      </c>
      <c r="H272" s="5">
        <f>HYPERLINK("https://itrix.uz/product/1254", "🔗 Купить продукт")</f>
        <v/>
      </c>
      <c r="I272" t="inlineStr">
        <is>
          <t>4-1254-965</t>
        </is>
      </c>
    </row>
    <row r="273" ht="30" customHeight="1">
      <c r="A273" s="4" t="inlineStr">
        <is>
          <t>Сетевое оборудование</t>
        </is>
      </c>
      <c r="B273" s="4" t="inlineStr">
        <is>
          <t>Система для видеоконференцсвязи Cisco CS-KIT-K9</t>
        </is>
      </c>
      <c r="C273" s="5" t="inlineStr"/>
      <c r="D273" s="5" t="n">
        <v>119020742</v>
      </c>
      <c r="E273" s="5" t="n">
        <v>106268520</v>
      </c>
      <c r="F273" s="5" t="inlineStr"/>
      <c r="G273" s="5" t="inlineStr">
        <is>
          <t>Cisco</t>
        </is>
      </c>
      <c r="H273" s="5">
        <f>HYPERLINK("https://itrix.uz/product/1260", "🔗 Купить продукт")</f>
        <v/>
      </c>
      <c r="I273" t="inlineStr">
        <is>
          <t>4-1260-971</t>
        </is>
      </c>
    </row>
    <row r="274" ht="30" customHeight="1">
      <c r="A274" s="4" t="inlineStr">
        <is>
          <t>Коммутаторы</t>
        </is>
      </c>
      <c r="B274" s="4" t="inlineStr">
        <is>
          <t>Коммутатор Ubiquiti UniFi USW-Ultra-210W</t>
        </is>
      </c>
      <c r="C274" s="5" t="inlineStr"/>
      <c r="D274" s="5" t="n">
        <v>3650447</v>
      </c>
      <c r="E274" s="5" t="n">
        <v>3259328</v>
      </c>
      <c r="F274" s="5" t="n">
        <v>3008630</v>
      </c>
      <c r="G274" s="5" t="inlineStr">
        <is>
          <t>UniFi UBIQUITI</t>
        </is>
      </c>
      <c r="H274" s="5">
        <f>HYPERLINK("https://itrix.uz/product/1438", "🔗 Купить продукт")</f>
        <v/>
      </c>
      <c r="I274" t="inlineStr">
        <is>
          <t>4-1438-1138</t>
        </is>
      </c>
    </row>
    <row r="275" ht="30" customHeight="1">
      <c r="A275" s="4" t="inlineStr">
        <is>
          <t>Сетевое оборудование</t>
        </is>
      </c>
      <c r="B275" s="4" t="inlineStr">
        <is>
          <t>Кабель прямого подключения MikroTik XS+DA0003</t>
        </is>
      </c>
      <c r="C275" s="5" t="inlineStr"/>
      <c r="D275" s="5" t="n">
        <v>714187</v>
      </c>
      <c r="E275" s="5" t="n">
        <v>637667</v>
      </c>
      <c r="F275" s="5" t="n">
        <v>588645</v>
      </c>
      <c r="G275" s="5" t="inlineStr">
        <is>
          <t>Mikrotik</t>
        </is>
      </c>
      <c r="H275" s="5">
        <f>HYPERLINK("https://itrix.uz/product/1341", "🔗 Купить продукт")</f>
        <v/>
      </c>
      <c r="I275" t="inlineStr">
        <is>
          <t>4-1341-1042</t>
        </is>
      </c>
    </row>
    <row r="276" ht="30" customHeight="1">
      <c r="A276" s="4" t="inlineStr">
        <is>
          <t>Сетевое оборудование</t>
        </is>
      </c>
      <c r="B276" s="4" t="inlineStr">
        <is>
          <t>Кабель Ubiquiti UACC-DAC-SFP10-0.5M</t>
        </is>
      </c>
      <c r="C276" s="5" t="inlineStr"/>
      <c r="D276" s="5" t="n">
        <v>343936</v>
      </c>
      <c r="E276" s="5" t="n">
        <v>307086</v>
      </c>
      <c r="F276" s="5" t="n">
        <v>283464</v>
      </c>
      <c r="G276" s="5" t="inlineStr">
        <is>
          <t>UniFi UBIQUITI</t>
        </is>
      </c>
      <c r="H276" s="5">
        <f>HYPERLINK("https://itrix.uz/product/1379", "🔗 Купить продукт")</f>
        <v/>
      </c>
      <c r="I276" t="inlineStr">
        <is>
          <t>4-1379-1079</t>
        </is>
      </c>
    </row>
    <row r="277" ht="30" customHeight="1">
      <c r="A277" s="4" t="inlineStr">
        <is>
          <t>Коммутаторы</t>
        </is>
      </c>
      <c r="B277" s="4" t="inlineStr">
        <is>
          <t>Коммутатор Ubiquiti UniFi USW-Enterprise-24-PoE</t>
        </is>
      </c>
      <c r="C277" s="5" t="inlineStr"/>
      <c r="D277" s="5" t="n">
        <v>13966972</v>
      </c>
      <c r="E277" s="5" t="n">
        <v>12470511</v>
      </c>
      <c r="F277" s="5" t="n">
        <v>11511280</v>
      </c>
      <c r="G277" s="5" t="inlineStr">
        <is>
          <t>UniFi UBIQUITI</t>
        </is>
      </c>
      <c r="H277" s="5">
        <f>HYPERLINK("https://itrix.uz/product/1423", "🔗 Купить продукт")</f>
        <v/>
      </c>
      <c r="I277" t="inlineStr">
        <is>
          <t>4-1423-1123</t>
        </is>
      </c>
    </row>
    <row r="278" ht="30" customHeight="1">
      <c r="A278" s="4" t="inlineStr">
        <is>
          <t>Коммутаторы</t>
        </is>
      </c>
      <c r="B278" s="4" t="inlineStr">
        <is>
          <t>Коммутатор Ubiquiti UniFi USW-PRO-XG-10-POE</t>
        </is>
      </c>
      <c r="C278" s="5" t="inlineStr"/>
      <c r="D278" s="5" t="n">
        <v>13279242</v>
      </c>
      <c r="E278" s="5" t="n">
        <v>11856466</v>
      </c>
      <c r="F278" s="5" t="n">
        <v>10944479</v>
      </c>
      <c r="G278" s="5" t="inlineStr">
        <is>
          <t>UniFi UBIQUITI</t>
        </is>
      </c>
      <c r="H278" s="5">
        <f>HYPERLINK("https://itrix.uz/product/1434", "🔗 Купить продукт")</f>
        <v/>
      </c>
      <c r="I278" t="inlineStr">
        <is>
          <t>4-1434-1134</t>
        </is>
      </c>
    </row>
    <row r="279" ht="30" customHeight="1">
      <c r="A279" s="4" t="inlineStr">
        <is>
          <t>Сетевое оборудование</t>
        </is>
      </c>
      <c r="B279" s="4" t="inlineStr">
        <is>
          <t>Кабель Ubiquiti UACC-DAC-SFP10-1M</t>
        </is>
      </c>
      <c r="C279" s="5" t="inlineStr"/>
      <c r="D279" s="5" t="n">
        <v>343936</v>
      </c>
      <c r="E279" s="5" t="n">
        <v>307086</v>
      </c>
      <c r="F279" s="5" t="n">
        <v>283464</v>
      </c>
      <c r="G279" s="5" t="inlineStr">
        <is>
          <t>UniFi UBIQUITI</t>
        </is>
      </c>
      <c r="H279" s="5">
        <f>HYPERLINK("https://itrix.uz/product/1380", "🔗 Купить продукт")</f>
        <v/>
      </c>
      <c r="I279" t="inlineStr">
        <is>
          <t>4-1380-1080</t>
        </is>
      </c>
    </row>
    <row r="280" ht="30" customHeight="1">
      <c r="A280" s="4" t="inlineStr">
        <is>
          <t>Сетевое оборудование</t>
        </is>
      </c>
      <c r="B280" s="4" t="inlineStr">
        <is>
          <t>Сетевой видеорегистратор Ubiquiti UniFi Network Video Recorder (UNVR)</t>
        </is>
      </c>
      <c r="C280" s="5" t="inlineStr"/>
      <c r="D280" s="5" t="n">
        <v>6031260</v>
      </c>
      <c r="E280" s="5" t="n">
        <v>5385054</v>
      </c>
      <c r="F280" s="5" t="n">
        <v>4970780</v>
      </c>
      <c r="G280" s="5" t="inlineStr">
        <is>
          <t>UniFi UBIQUITI</t>
        </is>
      </c>
      <c r="H280" s="5">
        <f>HYPERLINK("https://itrix.uz/product/1413", "🔗 Купить продукт")</f>
        <v/>
      </c>
      <c r="I280" t="inlineStr">
        <is>
          <t>4-1413-1113</t>
        </is>
      </c>
    </row>
    <row r="281" ht="30" customHeight="1">
      <c r="A281" s="4" t="inlineStr">
        <is>
          <t>Коммутаторы</t>
        </is>
      </c>
      <c r="B281" s="4" t="inlineStr">
        <is>
          <t>Коммутатор Ubiquiti UniFi Enterprise 48 PoE (USW-Enterprise-48-PoE)</t>
        </is>
      </c>
      <c r="C281" s="5" t="inlineStr"/>
      <c r="D281" s="5" t="n">
        <v>28463077</v>
      </c>
      <c r="E281" s="5" t="n">
        <v>25413462</v>
      </c>
      <c r="F281" s="5" t="n">
        <v>23458551</v>
      </c>
      <c r="G281" s="5" t="inlineStr">
        <is>
          <t>UniFi UBIQUITI</t>
        </is>
      </c>
      <c r="H281" s="5">
        <f>HYPERLINK("https://itrix.uz/product/1424", "🔗 Купить продукт")</f>
        <v/>
      </c>
      <c r="I281" t="inlineStr">
        <is>
          <t>4-1424-1124</t>
        </is>
      </c>
    </row>
    <row r="282" ht="30" customHeight="1">
      <c r="A282" s="4" t="inlineStr">
        <is>
          <t>Сетевое оборудование</t>
        </is>
      </c>
      <c r="B282" s="4" t="inlineStr">
        <is>
          <t>IP-камера Ubiquiti UVC-AI-Theta-Pro</t>
        </is>
      </c>
      <c r="C282" s="5" t="inlineStr"/>
      <c r="D282" s="5" t="n">
        <v>6507338</v>
      </c>
      <c r="E282" s="5" t="n">
        <v>5810123</v>
      </c>
      <c r="F282" s="5" t="n">
        <v>5363210</v>
      </c>
      <c r="G282" s="5" t="inlineStr">
        <is>
          <t>UniFi UBIQUITI</t>
        </is>
      </c>
      <c r="H282" s="5">
        <f>HYPERLINK("https://itrix.uz/product/1446", "🔗 Купить продукт")</f>
        <v/>
      </c>
      <c r="I282" t="inlineStr">
        <is>
          <t>4-1446-1146</t>
        </is>
      </c>
    </row>
    <row r="283" ht="30" customHeight="1">
      <c r="A283" s="4" t="inlineStr">
        <is>
          <t>Коммутаторы</t>
        </is>
      </c>
      <c r="B283" s="4" t="inlineStr">
        <is>
          <t>Коммутатор Ubiquiti UniFi Switch Lite 8 PoE</t>
        </is>
      </c>
      <c r="C283" s="5" t="inlineStr"/>
      <c r="D283" s="5" t="n">
        <v>2169160</v>
      </c>
      <c r="E283" s="5" t="n">
        <v>1936750</v>
      </c>
      <c r="F283" s="5" t="n">
        <v>1787779</v>
      </c>
      <c r="G283" s="5" t="inlineStr">
        <is>
          <t>UniFi UBIQUITI</t>
        </is>
      </c>
      <c r="H283" s="5">
        <f>HYPERLINK("https://itrix.uz/product/1428", "🔗 Купить продукт")</f>
        <v/>
      </c>
      <c r="I283" t="inlineStr">
        <is>
          <t>4-1428-1128</t>
        </is>
      </c>
    </row>
    <row r="284" ht="30" customHeight="1">
      <c r="A284" s="4" t="inlineStr">
        <is>
          <t>Коммутаторы</t>
        </is>
      </c>
      <c r="B284" s="4" t="inlineStr">
        <is>
          <t>Коммутатор Ubiquiti UniFi Switch Pro 24 PoE (USW-Pro-24-PoE)</t>
        </is>
      </c>
      <c r="C284" s="5" t="inlineStr"/>
      <c r="D284" s="5" t="n">
        <v>12379858</v>
      </c>
      <c r="E284" s="5" t="n">
        <v>11053445</v>
      </c>
      <c r="F284" s="5" t="n">
        <v>10203180</v>
      </c>
      <c r="G284" s="5" t="inlineStr">
        <is>
          <t>UniFi UBIQUITI</t>
        </is>
      </c>
      <c r="H284" s="5">
        <f>HYPERLINK("https://itrix.uz/product/1429", "🔗 Купить продукт")</f>
        <v/>
      </c>
      <c r="I284" t="inlineStr">
        <is>
          <t>4-1429-1129</t>
        </is>
      </c>
    </row>
    <row r="285" ht="30" customHeight="1">
      <c r="A285" s="4" t="inlineStr">
        <is>
          <t>Коммутаторы</t>
        </is>
      </c>
      <c r="B285" s="4" t="inlineStr">
        <is>
          <t>Коммутатор Ubiquiti USW-Pro-HD-24-PoE — управляемый L3 свитч</t>
        </is>
      </c>
      <c r="C285" s="5" t="inlineStr"/>
      <c r="D285" s="5" t="n">
        <v>17670333</v>
      </c>
      <c r="E285" s="5" t="n">
        <v>15777083</v>
      </c>
      <c r="F285" s="5" t="n">
        <v>14563471</v>
      </c>
      <c r="G285" s="5" t="inlineStr">
        <is>
          <t>UniFi UBIQUITI</t>
        </is>
      </c>
      <c r="H285" s="5">
        <f>HYPERLINK("https://itrix.uz/product/1432", "🔗 Купить продукт")</f>
        <v/>
      </c>
      <c r="I285" t="inlineStr">
        <is>
          <t>4-1432-1132</t>
        </is>
      </c>
    </row>
    <row r="286" ht="30" customHeight="1">
      <c r="A286" s="4" t="inlineStr">
        <is>
          <t>Сетевое оборудование</t>
        </is>
      </c>
      <c r="B286" s="4" t="inlineStr">
        <is>
          <t>IP-камера Ubiquiti UniFi Video Camera AI Pro</t>
        </is>
      </c>
      <c r="C286" s="5" t="inlineStr"/>
      <c r="D286" s="5" t="n">
        <v>9628795</v>
      </c>
      <c r="E286" s="5" t="n">
        <v>8597138</v>
      </c>
      <c r="F286" s="5" t="n">
        <v>7935849</v>
      </c>
      <c r="G286" s="5" t="inlineStr">
        <is>
          <t>UniFi UBIQUITI</t>
        </is>
      </c>
      <c r="H286" s="5">
        <f>HYPERLINK("https://itrix.uz/product/1447", "🔗 Купить продукт")</f>
        <v/>
      </c>
      <c r="I286" t="inlineStr">
        <is>
          <t>4-1447-1147</t>
        </is>
      </c>
    </row>
    <row r="287" ht="30" customHeight="1">
      <c r="A287" s="4" t="inlineStr">
        <is>
          <t>Сетевое оборудование</t>
        </is>
      </c>
      <c r="B287" s="4" t="inlineStr">
        <is>
          <t>IP-камера Ubiquiti UniFi Video Camera G5 Flex (UVC-G5-Flex)</t>
        </is>
      </c>
      <c r="C287" s="5" t="inlineStr"/>
      <c r="D287" s="5" t="n">
        <v>2433584</v>
      </c>
      <c r="E287" s="5" t="n">
        <v>2172843</v>
      </c>
      <c r="F287" s="5" t="n">
        <v>2005711</v>
      </c>
      <c r="G287" s="5" t="inlineStr">
        <is>
          <t>UniFi UBIQUITI</t>
        </is>
      </c>
      <c r="H287" s="5">
        <f>HYPERLINK("https://itrix.uz/product/1448", "🔗 Купить продукт")</f>
        <v/>
      </c>
      <c r="I287" t="inlineStr">
        <is>
          <t>4-1448-1148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0AA4A7"/>
    <outlinePr summaryBelow="1" summaryRight="1"/>
    <pageSetUpPr/>
  </sheetPr>
  <dimension ref="A1:I6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Маршрутизаторы</t>
        </is>
      </c>
      <c r="B2" s="4" t="inlineStr">
        <is>
          <t>Маршрутизатор MikroTik CCR1009-7G-1C-1S+PC</t>
        </is>
      </c>
      <c r="C2" s="5" t="inlineStr"/>
      <c r="D2" s="5" t="n">
        <v>8605520</v>
      </c>
      <c r="E2" s="5" t="n">
        <v>7683500</v>
      </c>
      <c r="F2" s="5" t="inlineStr"/>
      <c r="G2" s="5" t="inlineStr">
        <is>
          <t>Mikrotik</t>
        </is>
      </c>
      <c r="H2" s="5">
        <f>HYPERLINK("https://itrix.uz/product/239", "🔗 Купить продукт")</f>
        <v/>
      </c>
      <c r="I2" t="inlineStr">
        <is>
          <t>8-239-241</t>
        </is>
      </c>
    </row>
    <row r="3" ht="30" customHeight="1">
      <c r="A3" s="4" t="inlineStr">
        <is>
          <t>Маршрутизаторы</t>
        </is>
      </c>
      <c r="B3" s="4" t="inlineStr">
        <is>
          <t>Wi-Fi роутер MikroTik RB951Ui-2HnD</t>
        </is>
      </c>
      <c r="C3" s="5" t="inlineStr"/>
      <c r="D3" s="5" t="n">
        <v>899384</v>
      </c>
      <c r="E3" s="5" t="n">
        <v>803021</v>
      </c>
      <c r="F3" s="5" t="n">
        <v>741299</v>
      </c>
      <c r="G3" s="5" t="inlineStr">
        <is>
          <t>Mikrotik</t>
        </is>
      </c>
      <c r="H3" s="5">
        <f>HYPERLINK("https://itrix.uz/product/244", "🔗 Купить продукт")</f>
        <v/>
      </c>
      <c r="I3" t="inlineStr">
        <is>
          <t>8-244-246</t>
        </is>
      </c>
    </row>
    <row r="4" ht="30" customHeight="1">
      <c r="A4" s="4" t="inlineStr">
        <is>
          <t>Маршрутизаторы</t>
        </is>
      </c>
      <c r="B4" s="4" t="inlineStr">
        <is>
          <t>Маршрутизатор Ubiquiti EdgeRouter X SFP</t>
        </is>
      </c>
      <c r="C4" s="5" t="inlineStr"/>
      <c r="D4" s="5" t="n">
        <v>1721104</v>
      </c>
      <c r="E4" s="5" t="n">
        <v>1536700</v>
      </c>
      <c r="F4" s="5" t="inlineStr"/>
      <c r="G4" s="5" t="inlineStr">
        <is>
          <t>UniFi UBIQUITI</t>
        </is>
      </c>
      <c r="H4" s="5">
        <f>HYPERLINK("https://itrix.uz/product/178", "🔗 Купить продукт")</f>
        <v/>
      </c>
      <c r="I4" t="inlineStr">
        <is>
          <t>8-178-180</t>
        </is>
      </c>
    </row>
    <row r="5" ht="30" customHeight="1">
      <c r="A5" s="4" t="inlineStr">
        <is>
          <t>Маршрутизаторы</t>
        </is>
      </c>
      <c r="B5" s="4" t="inlineStr">
        <is>
          <t>Маршрутизатор Ubiquiti Unifi Cloud Gateway Ultra UCG-Ultra</t>
        </is>
      </c>
      <c r="C5" s="5" t="inlineStr"/>
      <c r="D5" s="5" t="n">
        <v>2190496</v>
      </c>
      <c r="E5" s="5" t="n">
        <v>1955800</v>
      </c>
      <c r="F5" s="5" t="inlineStr"/>
      <c r="G5" s="5" t="inlineStr">
        <is>
          <t>UniFi UBIQUITI</t>
        </is>
      </c>
      <c r="H5" s="5">
        <f>HYPERLINK("https://itrix.uz/product/308", "🔗 Купить продукт")</f>
        <v/>
      </c>
      <c r="I5" t="inlineStr">
        <is>
          <t>8-308-310</t>
        </is>
      </c>
    </row>
    <row r="6" ht="30" customHeight="1">
      <c r="A6" s="4" t="inlineStr">
        <is>
          <t>Маршрутизаторы</t>
        </is>
      </c>
      <c r="B6" s="4" t="inlineStr">
        <is>
          <t>Маршрутизатор UniFi Dream Machine Special Edition</t>
        </is>
      </c>
      <c r="C6" s="5" t="inlineStr"/>
      <c r="D6" s="5" t="n">
        <v>9515856</v>
      </c>
      <c r="E6" s="5" t="n">
        <v>8496300</v>
      </c>
      <c r="F6" s="5" t="inlineStr"/>
      <c r="G6" s="5" t="inlineStr">
        <is>
          <t>UniFi UBIQUITI</t>
        </is>
      </c>
      <c r="H6" s="5">
        <f>HYPERLINK("https://itrix.uz/product/311", "🔗 Купить продукт")</f>
        <v/>
      </c>
      <c r="I6" t="inlineStr">
        <is>
          <t>8-311-313</t>
        </is>
      </c>
    </row>
    <row r="7" ht="30" customHeight="1">
      <c r="A7" s="4" t="inlineStr">
        <is>
          <t>Маршрутизаторы</t>
        </is>
      </c>
      <c r="B7" s="4" t="inlineStr">
        <is>
          <t>Маршрутизатор MikroTik RB3011UiAS-RM</t>
        </is>
      </c>
      <c r="C7" s="5" t="inlineStr"/>
      <c r="D7" s="5" t="n">
        <v>2816352</v>
      </c>
      <c r="E7" s="5" t="n">
        <v>2514600</v>
      </c>
      <c r="F7" s="5" t="inlineStr"/>
      <c r="G7" s="5" t="inlineStr">
        <is>
          <t>Mikrotik</t>
        </is>
      </c>
      <c r="H7" s="5">
        <f>HYPERLINK("https://itrix.uz/product/234", "🔗 Купить продукт")</f>
        <v/>
      </c>
      <c r="I7" t="inlineStr">
        <is>
          <t>8-234-236</t>
        </is>
      </c>
    </row>
    <row r="8" ht="30" customHeight="1">
      <c r="A8" s="4" t="inlineStr">
        <is>
          <t>Маршрутизаторы</t>
        </is>
      </c>
      <c r="B8" s="4" t="inlineStr">
        <is>
          <t>Маршрутизатор MikroTik CCR1036-12G-4S-EM</t>
        </is>
      </c>
      <c r="C8" s="5" t="inlineStr"/>
      <c r="D8" s="5" t="n">
        <v>22530816</v>
      </c>
      <c r="E8" s="5" t="n">
        <v>20116800</v>
      </c>
      <c r="F8" s="5" t="inlineStr"/>
      <c r="G8" s="5" t="inlineStr">
        <is>
          <t>Mikrotik</t>
        </is>
      </c>
      <c r="H8" s="5">
        <f>HYPERLINK("https://itrix.uz/product/236", "🔗 Купить продукт")</f>
        <v/>
      </c>
      <c r="I8" t="inlineStr">
        <is>
          <t>8-236-238</t>
        </is>
      </c>
    </row>
    <row r="9" ht="30" customHeight="1">
      <c r="A9" s="4" t="inlineStr">
        <is>
          <t>Маршрутизаторы</t>
        </is>
      </c>
      <c r="B9" s="4" t="inlineStr">
        <is>
          <t>Маршрутизатор MikroTik CCR2116-12G-4S+</t>
        </is>
      </c>
      <c r="C9" s="5" t="inlineStr"/>
      <c r="D9" s="5" t="n">
        <v>14549018</v>
      </c>
      <c r="E9" s="5" t="n">
        <v>12990195</v>
      </c>
      <c r="F9" s="5" t="n">
        <v>11990959</v>
      </c>
      <c r="G9" s="5" t="inlineStr">
        <is>
          <t>Mikrotik</t>
        </is>
      </c>
      <c r="H9" s="5">
        <f>HYPERLINK("https://itrix.uz/product/241", "🔗 Купить продукт")</f>
        <v/>
      </c>
      <c r="I9" t="inlineStr">
        <is>
          <t>8-241-243</t>
        </is>
      </c>
    </row>
    <row r="10" ht="30" customHeight="1">
      <c r="A10" s="4" t="inlineStr">
        <is>
          <t>Маршрутизаторы</t>
        </is>
      </c>
      <c r="B10" s="4" t="inlineStr">
        <is>
          <t>Маршрутизатор Mikrotik L009UiGS-RM</t>
        </is>
      </c>
      <c r="C10" s="5" t="inlineStr"/>
      <c r="D10" s="5" t="n">
        <v>1745854</v>
      </c>
      <c r="E10" s="5" t="n">
        <v>1558798</v>
      </c>
      <c r="F10" s="5" t="n">
        <v>1438910</v>
      </c>
      <c r="G10" s="5" t="inlineStr">
        <is>
          <t>Mikrotik</t>
        </is>
      </c>
      <c r="H10" s="5">
        <f>HYPERLINK("https://itrix.uz/product/511", "🔗 Купить продукт")</f>
        <v/>
      </c>
      <c r="I10" t="inlineStr">
        <is>
          <t>8-511-489</t>
        </is>
      </c>
    </row>
    <row r="11" ht="30" customHeight="1">
      <c r="A11" s="4" t="inlineStr">
        <is>
          <t>Маршрутизаторы</t>
        </is>
      </c>
      <c r="B11" s="4" t="inlineStr">
        <is>
          <t>Маршрутизатор Mikrotik CCR1009-7G-1C-1S+</t>
        </is>
      </c>
      <c r="C11" s="5" t="inlineStr"/>
      <c r="D11" s="5" t="n">
        <v>8420608</v>
      </c>
      <c r="E11" s="5" t="n">
        <v>7518400</v>
      </c>
      <c r="F11" s="5" t="inlineStr"/>
      <c r="G11" s="5" t="inlineStr">
        <is>
          <t>Mikrotik</t>
        </is>
      </c>
      <c r="H11" s="5">
        <f>HYPERLINK("https://itrix.uz/product/240", "🔗 Купить продукт")</f>
        <v/>
      </c>
      <c r="I11" t="inlineStr">
        <is>
          <t>8-240-242</t>
        </is>
      </c>
    </row>
    <row r="12" ht="30" customHeight="1">
      <c r="A12" s="4" t="inlineStr">
        <is>
          <t>Маршрутизаторы</t>
        </is>
      </c>
      <c r="B12" s="4" t="inlineStr">
        <is>
          <t>Wi-Fi маршрутизатор MikroTik hAP RB951Ui-2nD</t>
        </is>
      </c>
      <c r="C12" s="5" t="inlineStr"/>
      <c r="D12" s="5" t="n">
        <v>711200</v>
      </c>
      <c r="E12" s="5" t="n">
        <v>635000</v>
      </c>
      <c r="F12" s="5" t="inlineStr"/>
      <c r="G12" s="5" t="inlineStr">
        <is>
          <t>Mikrotik</t>
        </is>
      </c>
      <c r="H12" s="5">
        <f>HYPERLINK("https://itrix.uz/product/243", "🔗 Купить продукт")</f>
        <v/>
      </c>
      <c r="I12" t="inlineStr">
        <is>
          <t>8-243-245</t>
        </is>
      </c>
    </row>
    <row r="13" ht="30" customHeight="1">
      <c r="A13" s="4" t="inlineStr">
        <is>
          <t>Маршрутизаторы</t>
        </is>
      </c>
      <c r="B13" s="4" t="inlineStr">
        <is>
          <t>Wi-Fi роутер MikroTik hAP ac lite RB952Ui-5ac2nD</t>
        </is>
      </c>
      <c r="C13" s="5" t="inlineStr"/>
      <c r="D13" s="5" t="n">
        <v>980176</v>
      </c>
      <c r="E13" s="5" t="n">
        <v>875157</v>
      </c>
      <c r="F13" s="5" t="n">
        <v>817880</v>
      </c>
      <c r="G13" s="5" t="inlineStr">
        <is>
          <t>Mikrotik</t>
        </is>
      </c>
      <c r="H13" s="5">
        <f>HYPERLINK("https://itrix.uz/product/246", "🔗 Купить продукт")</f>
        <v/>
      </c>
      <c r="I13" t="inlineStr">
        <is>
          <t>8-246-248</t>
        </is>
      </c>
    </row>
    <row r="14" ht="30" customHeight="1">
      <c r="A14" s="4" t="inlineStr">
        <is>
          <t>Маршрутизаторы</t>
        </is>
      </c>
      <c r="B14" s="4" t="inlineStr">
        <is>
          <t>Wi-Fi роутер Ubiquiti UniFi Dream Router UDR</t>
        </is>
      </c>
      <c r="C14" s="5" t="inlineStr"/>
      <c r="D14" s="5" t="n">
        <v>4423664</v>
      </c>
      <c r="E14" s="5" t="n">
        <v>3949700</v>
      </c>
      <c r="F14" s="5" t="inlineStr"/>
      <c r="G14" s="5" t="inlineStr">
        <is>
          <t>UniFi UBIQUITI</t>
        </is>
      </c>
      <c r="H14" s="5">
        <f>HYPERLINK("https://itrix.uz/product/309", "🔗 Купить продукт")</f>
        <v/>
      </c>
      <c r="I14" t="inlineStr">
        <is>
          <t>8-309-311</t>
        </is>
      </c>
    </row>
    <row r="15" ht="30" customHeight="1">
      <c r="A15" s="4" t="inlineStr">
        <is>
          <t>Маршрутизаторы</t>
        </is>
      </c>
      <c r="B15" s="4" t="inlineStr">
        <is>
          <t>Управляемый PoE коммутатор Ruijie Reyee RG-ES205GC-P</t>
        </is>
      </c>
      <c r="C15" s="5" t="inlineStr"/>
      <c r="D15" s="5" t="n">
        <v>967232</v>
      </c>
      <c r="E15" s="5" t="n">
        <v>863600</v>
      </c>
      <c r="F15" s="5" t="inlineStr"/>
      <c r="G15" s="5" t="inlineStr">
        <is>
          <t>Reyee</t>
        </is>
      </c>
      <c r="H15" s="5">
        <f>HYPERLINK("https://itrix.uz/product/484", "🔗 Купить продукт")</f>
        <v/>
      </c>
      <c r="I15" t="inlineStr">
        <is>
          <t>8-484-468</t>
        </is>
      </c>
    </row>
    <row r="16" ht="30" customHeight="1">
      <c r="A16" s="4" t="inlineStr">
        <is>
          <t>Маршрутизаторы</t>
        </is>
      </c>
      <c r="B16" s="4" t="inlineStr">
        <is>
          <t>Маршрутизатор MikroTik RB2011UiAS-RM</t>
        </is>
      </c>
      <c r="C16" s="5" t="inlineStr"/>
      <c r="D16" s="5" t="n">
        <v>1906016</v>
      </c>
      <c r="E16" s="5" t="n">
        <v>1701800</v>
      </c>
      <c r="F16" s="5" t="inlineStr"/>
      <c r="G16" s="5" t="inlineStr">
        <is>
          <t>Mikrotik</t>
        </is>
      </c>
      <c r="H16" s="5">
        <f>HYPERLINK("https://itrix.uz/product/232", "🔗 Купить продукт")</f>
        <v/>
      </c>
      <c r="I16" t="inlineStr">
        <is>
          <t>8-232-234</t>
        </is>
      </c>
    </row>
    <row r="17" ht="30" customHeight="1">
      <c r="A17" s="4" t="inlineStr">
        <is>
          <t>Маршрутизаторы</t>
        </is>
      </c>
      <c r="B17" s="4" t="inlineStr">
        <is>
          <t>Маршрутизатор Mikrotik CCR2004-1G-12S+2XS</t>
        </is>
      </c>
      <c r="C17" s="5" t="inlineStr"/>
      <c r="D17" s="5" t="n">
        <v>8676498</v>
      </c>
      <c r="E17" s="5" t="n">
        <v>7746873</v>
      </c>
      <c r="F17" s="5" t="n">
        <v>7150989</v>
      </c>
      <c r="G17" s="5" t="inlineStr">
        <is>
          <t>Mikrotik</t>
        </is>
      </c>
      <c r="H17" s="5">
        <f>HYPERLINK("https://itrix.uz/product/367", "🔗 Купить продукт")</f>
        <v/>
      </c>
      <c r="I17" t="inlineStr">
        <is>
          <t>8-367-372</t>
        </is>
      </c>
    </row>
    <row r="18" ht="30" customHeight="1">
      <c r="A18" s="4" t="inlineStr">
        <is>
          <t>Маршрутизаторы</t>
        </is>
      </c>
      <c r="B18" s="4" t="inlineStr">
        <is>
          <t>Маршрутизатор MikroTik hEX RB750Gr3</t>
        </is>
      </c>
      <c r="C18" s="5" t="inlineStr"/>
      <c r="D18" s="5" t="n">
        <v>910336</v>
      </c>
      <c r="E18" s="5" t="n">
        <v>812800</v>
      </c>
      <c r="F18" s="5" t="inlineStr"/>
      <c r="G18" s="5" t="inlineStr">
        <is>
          <t>Mikrotik</t>
        </is>
      </c>
      <c r="H18" s="5">
        <f>HYPERLINK("https://itrix.uz/product/368", "🔗 Купить продукт")</f>
        <v/>
      </c>
      <c r="I18" t="inlineStr">
        <is>
          <t>8-368-373</t>
        </is>
      </c>
    </row>
    <row r="19" ht="30" customHeight="1">
      <c r="A19" s="4" t="inlineStr">
        <is>
          <t>Маршрутизаторы</t>
        </is>
      </c>
      <c r="B19" s="4" t="inlineStr">
        <is>
          <t>Беспроводная точка доступа MikroTik hAP ax²</t>
        </is>
      </c>
      <c r="C19" s="5" t="inlineStr"/>
      <c r="D19" s="5" t="n">
        <v>1507744</v>
      </c>
      <c r="E19" s="5" t="n">
        <v>1346200</v>
      </c>
      <c r="F19" s="5" t="n">
        <v>1242695</v>
      </c>
      <c r="G19" s="5" t="inlineStr">
        <is>
          <t>Mikrotik</t>
        </is>
      </c>
      <c r="H19" s="5">
        <f>HYPERLINK("https://itrix.uz/product/1294", "🔗 Купить продукт")</f>
        <v/>
      </c>
      <c r="I19" t="inlineStr">
        <is>
          <t>8-1294-1001</t>
        </is>
      </c>
    </row>
    <row r="20" ht="30" customHeight="1">
      <c r="A20" s="4" t="inlineStr">
        <is>
          <t>Маршрутизаторы</t>
        </is>
      </c>
      <c r="B20" s="4" t="inlineStr">
        <is>
          <t>Wi-Fi роутер MikroTik hAP lite Classic RB941-2nD</t>
        </is>
      </c>
      <c r="C20" s="5" t="inlineStr"/>
      <c r="D20" s="5" t="n">
        <v>398272</v>
      </c>
      <c r="E20" s="5" t="n">
        <v>355600</v>
      </c>
      <c r="F20" s="5" t="inlineStr"/>
      <c r="G20" s="5" t="inlineStr">
        <is>
          <t>Mikrotik</t>
        </is>
      </c>
      <c r="H20" s="5">
        <f>HYPERLINK("https://itrix.uz/product/249", "🔗 Купить продукт")</f>
        <v/>
      </c>
      <c r="I20" t="inlineStr">
        <is>
          <t>8-249-251</t>
        </is>
      </c>
    </row>
    <row r="21" ht="30" customHeight="1">
      <c r="A21" s="4" t="inlineStr">
        <is>
          <t>Маршрутизаторы</t>
        </is>
      </c>
      <c r="B21" s="4" t="inlineStr">
        <is>
          <t>Wi-Fi роутер MikroTik hAP lite TC RB941-2nD-TC</t>
        </is>
      </c>
      <c r="C21" s="5" t="inlineStr"/>
      <c r="D21" s="5" t="n">
        <v>472521</v>
      </c>
      <c r="E21" s="5" t="n">
        <v>421894</v>
      </c>
      <c r="F21" s="5" t="n">
        <v>394335</v>
      </c>
      <c r="G21" s="5" t="inlineStr">
        <is>
          <t>Mikrotik</t>
        </is>
      </c>
      <c r="H21" s="5">
        <f>HYPERLINK("https://itrix.uz/product/250", "🔗 Купить продукт")</f>
        <v/>
      </c>
      <c r="I21" t="inlineStr">
        <is>
          <t>8-250-252</t>
        </is>
      </c>
    </row>
    <row r="22" ht="30" customHeight="1">
      <c r="A22" s="4" t="inlineStr">
        <is>
          <t>Маршрутизаторы</t>
        </is>
      </c>
      <c r="B22" s="4" t="inlineStr">
        <is>
          <t>Wi-Fi роутер MikroTik hAP ax³</t>
        </is>
      </c>
      <c r="C22" s="5" t="inlineStr"/>
      <c r="D22" s="5" t="n">
        <v>2089790</v>
      </c>
      <c r="E22" s="5" t="n">
        <v>1865884</v>
      </c>
      <c r="F22" s="5" t="n">
        <v>1722374</v>
      </c>
      <c r="G22" s="5" t="inlineStr">
        <is>
          <t>Mikrotik</t>
        </is>
      </c>
      <c r="H22" s="5">
        <f>HYPERLINK("https://itrix.uz/product/1295", "🔗 Купить продукт")</f>
        <v/>
      </c>
      <c r="I22" t="inlineStr">
        <is>
          <t>8-1295-1002</t>
        </is>
      </c>
    </row>
    <row r="23" ht="30" customHeight="1">
      <c r="A23" s="4" t="inlineStr">
        <is>
          <t>Маршрутизаторы</t>
        </is>
      </c>
      <c r="B23" s="4" t="inlineStr">
        <is>
          <t>Беспроводная точка доступа MikroTik cAP ax (cAPGi-5HaxD2HaxD)</t>
        </is>
      </c>
      <c r="C23" s="5" t="inlineStr"/>
      <c r="D23" s="5" t="n">
        <v>2036877</v>
      </c>
      <c r="E23" s="5" t="n">
        <v>1818640</v>
      </c>
      <c r="F23" s="5" t="n">
        <v>1678686</v>
      </c>
      <c r="G23" s="5" t="inlineStr">
        <is>
          <t>Mikrotik</t>
        </is>
      </c>
      <c r="H23" s="5">
        <f>HYPERLINK("https://itrix.uz/product/1296", "🔗 Купить продукт")</f>
        <v/>
      </c>
      <c r="I23" t="inlineStr">
        <is>
          <t>8-1296-1003</t>
        </is>
      </c>
    </row>
    <row r="24" ht="30" customHeight="1">
      <c r="A24" s="4" t="inlineStr">
        <is>
          <t>Маршрутизаторы</t>
        </is>
      </c>
      <c r="B24" s="4" t="inlineStr">
        <is>
          <t>Маршрутизатор Mikrotik CCR2004-16G-2S+</t>
        </is>
      </c>
      <c r="C24" s="5" t="inlineStr"/>
      <c r="D24" s="5" t="n">
        <v>6877731</v>
      </c>
      <c r="E24" s="5" t="n">
        <v>6140831</v>
      </c>
      <c r="F24" s="5" t="n">
        <v>5668391</v>
      </c>
      <c r="G24" s="5" t="inlineStr">
        <is>
          <t>Mikrotik</t>
        </is>
      </c>
      <c r="H24" s="5">
        <f>HYPERLINK("https://itrix.uz/product/1297", "🔗 Купить продукт")</f>
        <v/>
      </c>
      <c r="I24" t="inlineStr">
        <is>
          <t>8-1297-1004</t>
        </is>
      </c>
    </row>
    <row r="25" ht="30" customHeight="1">
      <c r="A25" s="4" t="inlineStr">
        <is>
          <t>Маршрутизаторы</t>
        </is>
      </c>
      <c r="B25" s="4" t="inlineStr">
        <is>
          <t>PoE-маршрутизатор Ruijie Reyee RG-EG210G-P</t>
        </is>
      </c>
      <c r="C25" s="5" t="inlineStr"/>
      <c r="D25" s="5" t="n">
        <v>2631440</v>
      </c>
      <c r="E25" s="5" t="n">
        <v>2349500</v>
      </c>
      <c r="F25" s="5" t="inlineStr"/>
      <c r="G25" s="5" t="inlineStr">
        <is>
          <t>Reyee</t>
        </is>
      </c>
      <c r="H25" s="5">
        <f>HYPERLINK("https://itrix.uz/product/486", "🔗 Купить продукт")</f>
        <v/>
      </c>
      <c r="I25" t="inlineStr">
        <is>
          <t>8-486-470</t>
        </is>
      </c>
    </row>
    <row r="26" ht="30" customHeight="1">
      <c r="A26" s="4" t="inlineStr">
        <is>
          <t>Маршрутизаторы</t>
        </is>
      </c>
      <c r="B26" s="4" t="inlineStr">
        <is>
          <t>Коммутатор Ruijie Reyee RG-ES209GC-P</t>
        </is>
      </c>
      <c r="C26" s="5" t="inlineStr"/>
      <c r="D26" s="5" t="n">
        <v>1820672</v>
      </c>
      <c r="E26" s="5" t="n">
        <v>1625600</v>
      </c>
      <c r="F26" s="5" t="inlineStr"/>
      <c r="G26" s="5" t="inlineStr">
        <is>
          <t>Reyee</t>
        </is>
      </c>
      <c r="H26" s="5">
        <f>HYPERLINK("https://itrix.uz/product/485", "🔗 Купить продукт")</f>
        <v/>
      </c>
      <c r="I26" t="inlineStr">
        <is>
          <t>8-485-469</t>
        </is>
      </c>
    </row>
    <row r="27" ht="30" customHeight="1">
      <c r="A27" s="4" t="inlineStr">
        <is>
          <t>Маршрутизаторы</t>
        </is>
      </c>
      <c r="B27" s="4" t="inlineStr">
        <is>
          <t xml:space="preserve">Управляемый коммутатор уровня L2 Ruijie Reyee RG-ES224GC </t>
        </is>
      </c>
      <c r="C27" s="5" t="inlineStr"/>
      <c r="D27" s="5" t="n">
        <v>2389632</v>
      </c>
      <c r="E27" s="5" t="n">
        <v>2133600</v>
      </c>
      <c r="F27" s="5" t="inlineStr"/>
      <c r="G27" s="5" t="inlineStr">
        <is>
          <t>Reyee</t>
        </is>
      </c>
      <c r="H27" s="5">
        <f>HYPERLINK("https://itrix.uz/product/487", "🔗 Купить продукт")</f>
        <v/>
      </c>
      <c r="I27" t="inlineStr">
        <is>
          <t>8-487-471</t>
        </is>
      </c>
    </row>
    <row r="28" ht="30" customHeight="1">
      <c r="A28" s="4" t="inlineStr">
        <is>
          <t>Маршрутизаторы</t>
        </is>
      </c>
      <c r="B28" s="4" t="inlineStr">
        <is>
          <t>Wi-Fi роутер Mikrotik RB2011UiAS-2HnD-IN</t>
        </is>
      </c>
      <c r="C28" s="5" t="inlineStr"/>
      <c r="D28" s="5" t="n">
        <v>1920240</v>
      </c>
      <c r="E28" s="5" t="n">
        <v>1714500</v>
      </c>
      <c r="F28" s="5" t="inlineStr"/>
      <c r="G28" s="5" t="inlineStr">
        <is>
          <t>Mikrotik</t>
        </is>
      </c>
      <c r="H28" s="5">
        <f>HYPERLINK("https://itrix.uz/product/233", "🔗 Купить продукт")</f>
        <v/>
      </c>
      <c r="I28" t="inlineStr">
        <is>
          <t>8-233-235</t>
        </is>
      </c>
    </row>
    <row r="29" ht="30" customHeight="1">
      <c r="A29" s="4" t="inlineStr">
        <is>
          <t>Маршрутизаторы</t>
        </is>
      </c>
      <c r="B29" s="4" t="inlineStr">
        <is>
          <t>Маршрутизатор Mikrotik RB4011iGS+RM</t>
        </is>
      </c>
      <c r="C29" s="5" t="inlineStr"/>
      <c r="D29" s="5" t="n">
        <v>3227283</v>
      </c>
      <c r="E29" s="5" t="n">
        <v>2881503</v>
      </c>
      <c r="F29" s="5" t="n">
        <v>2659761</v>
      </c>
      <c r="G29" s="5" t="inlineStr">
        <is>
          <t>Mikrotik</t>
        </is>
      </c>
      <c r="H29" s="5">
        <f>HYPERLINK("https://itrix.uz/product/235", "🔗 Купить продукт")</f>
        <v/>
      </c>
      <c r="I29" t="inlineStr">
        <is>
          <t>8-235-237</t>
        </is>
      </c>
    </row>
    <row r="30" ht="30" customHeight="1">
      <c r="A30" s="4" t="inlineStr">
        <is>
          <t>Маршрутизаторы</t>
        </is>
      </c>
      <c r="B30" s="4" t="inlineStr">
        <is>
          <t>Маршрутизатор MikroTik RB1100Dx4 Dude Edition</t>
        </is>
      </c>
      <c r="C30" s="5" t="inlineStr"/>
      <c r="D30" s="5" t="n">
        <v>5740237</v>
      </c>
      <c r="E30" s="5" t="n">
        <v>5125212</v>
      </c>
      <c r="F30" s="5" t="n">
        <v>4731004</v>
      </c>
      <c r="G30" s="5" t="inlineStr">
        <is>
          <t>Mikrotik</t>
        </is>
      </c>
      <c r="H30" s="5">
        <f>HYPERLINK("https://itrix.uz/product/238", "🔗 Купить продукт")</f>
        <v/>
      </c>
      <c r="I30" t="inlineStr">
        <is>
          <t>8-238-240</t>
        </is>
      </c>
    </row>
    <row r="31" ht="30" customHeight="1">
      <c r="A31" s="4" t="inlineStr">
        <is>
          <t>Маршрутизаторы</t>
        </is>
      </c>
      <c r="B31" s="4" t="inlineStr">
        <is>
          <t>Wi-Fi роутер MikroTik RB951G-2HnD</t>
        </is>
      </c>
      <c r="C31" s="5" t="inlineStr"/>
      <c r="D31" s="5" t="n">
        <v>1607312</v>
      </c>
      <c r="E31" s="5" t="n">
        <v>1435100</v>
      </c>
      <c r="F31" s="5" t="inlineStr"/>
      <c r="G31" s="5" t="inlineStr">
        <is>
          <t>Mikrotik</t>
        </is>
      </c>
      <c r="H31" s="5">
        <f>HYPERLINK("https://itrix.uz/product/245", "🔗 Купить продукт")</f>
        <v/>
      </c>
      <c r="I31" t="inlineStr">
        <is>
          <t>8-245-247</t>
        </is>
      </c>
    </row>
    <row r="32" ht="30" customHeight="1">
      <c r="A32" s="4" t="inlineStr">
        <is>
          <t>Маршрутизаторы</t>
        </is>
      </c>
      <c r="B32" s="4" t="inlineStr">
        <is>
          <t>Маршрутизатор MikroTik hEX PoE RB960PGS</t>
        </is>
      </c>
      <c r="C32" s="5" t="inlineStr"/>
      <c r="D32" s="5" t="n">
        <v>1308608</v>
      </c>
      <c r="E32" s="5" t="n">
        <v>1168400</v>
      </c>
      <c r="F32" s="5" t="inlineStr"/>
      <c r="G32" s="5" t="inlineStr">
        <is>
          <t>Mikrotik</t>
        </is>
      </c>
      <c r="H32" s="5">
        <f>HYPERLINK("https://itrix.uz/product/247", "🔗 Купить продукт")</f>
        <v/>
      </c>
      <c r="I32" t="inlineStr">
        <is>
          <t>8-247-249</t>
        </is>
      </c>
    </row>
    <row r="33" ht="30" customHeight="1">
      <c r="A33" s="4" t="inlineStr">
        <is>
          <t>Маршрутизаторы</t>
        </is>
      </c>
      <c r="B33" s="4" t="inlineStr">
        <is>
          <t>Wi-Fi роутер MikroTik hAP mini RB931-2nD</t>
        </is>
      </c>
      <c r="C33" s="5" t="inlineStr"/>
      <c r="D33" s="5" t="n">
        <v>369824</v>
      </c>
      <c r="E33" s="5" t="n">
        <v>330200</v>
      </c>
      <c r="F33" s="5" t="inlineStr"/>
      <c r="G33" s="5" t="inlineStr">
        <is>
          <t>Mikrotik</t>
        </is>
      </c>
      <c r="H33" s="5">
        <f>HYPERLINK("https://itrix.uz/product/251", "🔗 Купить продукт")</f>
        <v/>
      </c>
      <c r="I33" t="inlineStr">
        <is>
          <t>8-251-253</t>
        </is>
      </c>
    </row>
    <row r="34" ht="30" customHeight="1">
      <c r="A34" s="4" t="inlineStr">
        <is>
          <t>Маршрутизаторы</t>
        </is>
      </c>
      <c r="B34" s="4" t="inlineStr">
        <is>
          <t xml:space="preserve">Маршрутизатор Grandstream GWN7002 </t>
        </is>
      </c>
      <c r="C34" s="5" t="inlineStr"/>
      <c r="D34" s="5" t="n">
        <v>1246022</v>
      </c>
      <c r="E34" s="5" t="n">
        <v>1112520</v>
      </c>
      <c r="F34" s="5" t="inlineStr"/>
      <c r="G34" s="5" t="inlineStr">
        <is>
          <t>Grandstream</t>
        </is>
      </c>
      <c r="H34" s="5">
        <f>HYPERLINK("https://itrix.uz/product/940", "🔗 Купить продукт")</f>
        <v/>
      </c>
      <c r="I34" t="inlineStr">
        <is>
          <t>8-940-830</t>
        </is>
      </c>
    </row>
    <row r="35" ht="30" customHeight="1">
      <c r="A35" s="4" t="inlineStr">
        <is>
          <t>Маршрутизаторы</t>
        </is>
      </c>
      <c r="B35" s="4" t="inlineStr">
        <is>
          <t xml:space="preserve">Маршрутизатор Grandstream GWN7062E </t>
        </is>
      </c>
      <c r="C35" s="5" t="inlineStr"/>
      <c r="D35" s="5" t="n">
        <v>938784</v>
      </c>
      <c r="E35" s="5" t="n">
        <v>838200</v>
      </c>
      <c r="F35" s="5" t="inlineStr"/>
      <c r="G35" s="5" t="inlineStr">
        <is>
          <t>Grandstream</t>
        </is>
      </c>
      <c r="H35" s="5">
        <f>HYPERLINK("https://itrix.uz/product/941", "🔗 Купить продукт")</f>
        <v/>
      </c>
      <c r="I35" t="inlineStr">
        <is>
          <t>8-941-831</t>
        </is>
      </c>
    </row>
    <row r="36" ht="30" customHeight="1">
      <c r="A36" s="4" t="inlineStr">
        <is>
          <t>Маршрутизаторы</t>
        </is>
      </c>
      <c r="B36" s="4" t="inlineStr">
        <is>
          <t>Маршрутизатор Mikrotik CCR2216-1G-12XS-2XQ</t>
        </is>
      </c>
      <c r="C36" s="5" t="inlineStr"/>
      <c r="D36" s="5" t="n">
        <v>41266242</v>
      </c>
      <c r="E36" s="5" t="n">
        <v>36844859</v>
      </c>
      <c r="F36" s="5" t="n">
        <v>34010600</v>
      </c>
      <c r="G36" s="5" t="inlineStr">
        <is>
          <t>Mikrotik</t>
        </is>
      </c>
      <c r="H36" s="5">
        <f>HYPERLINK("https://itrix.uz/product/1298", "🔗 Купить продукт")</f>
        <v/>
      </c>
      <c r="I36" t="inlineStr">
        <is>
          <t>8-1298-1005</t>
        </is>
      </c>
    </row>
    <row r="37" ht="30" customHeight="1">
      <c r="A37" s="4" t="inlineStr">
        <is>
          <t>Маршрутизаторы</t>
        </is>
      </c>
      <c r="B37" s="4" t="inlineStr">
        <is>
          <t>Маршрутизатор MikroTik E60iUGS (hEX S 2025 version)</t>
        </is>
      </c>
      <c r="C37" s="5" t="inlineStr"/>
      <c r="D37" s="5" t="n">
        <v>1190407</v>
      </c>
      <c r="E37" s="5" t="n">
        <v>1062863</v>
      </c>
      <c r="F37" s="5" t="n">
        <v>981075</v>
      </c>
      <c r="G37" s="5" t="inlineStr">
        <is>
          <t>Mikrotik</t>
        </is>
      </c>
      <c r="H37" s="5">
        <f>HYPERLINK("https://itrix.uz/product/1309", "🔗 Купить продукт")</f>
        <v/>
      </c>
      <c r="I37" t="inlineStr">
        <is>
          <t>8-1309-1016</t>
        </is>
      </c>
    </row>
    <row r="38" ht="30" customHeight="1">
      <c r="A38" s="4" t="inlineStr">
        <is>
          <t>Маршрутизаторы</t>
        </is>
      </c>
      <c r="B38" s="4" t="inlineStr">
        <is>
          <t>Маршрутизатор MikroTik hAP ax S (E62iUGS-2axD5axT)</t>
        </is>
      </c>
      <c r="C38" s="5" t="inlineStr"/>
      <c r="D38" s="5" t="n">
        <v>1190407</v>
      </c>
      <c r="E38" s="5" t="n">
        <v>1062863</v>
      </c>
      <c r="F38" s="5" t="n">
        <v>981075</v>
      </c>
      <c r="G38" s="5" t="inlineStr">
        <is>
          <t>Mikrotik</t>
        </is>
      </c>
      <c r="H38" s="5">
        <f>HYPERLINK("https://itrix.uz/product/1310", "🔗 Купить продукт")</f>
        <v/>
      </c>
      <c r="I38" t="inlineStr">
        <is>
          <t>8-1310-1017</t>
        </is>
      </c>
    </row>
    <row r="39" ht="30" customHeight="1">
      <c r="A39" s="4" t="inlineStr">
        <is>
          <t>Маршрутизаторы</t>
        </is>
      </c>
      <c r="B39" s="4" t="inlineStr">
        <is>
          <t>Маршрутизатор MikroTik Chateau PRO ax (H53UiG-5HaxQ2HaxQ)</t>
        </is>
      </c>
      <c r="C39" s="5" t="inlineStr"/>
      <c r="D39" s="5" t="n">
        <v>3147913</v>
      </c>
      <c r="E39" s="5" t="n">
        <v>2810637</v>
      </c>
      <c r="F39" s="5" t="n">
        <v>2594356</v>
      </c>
      <c r="G39" s="5" t="inlineStr">
        <is>
          <t>Mikrotik</t>
        </is>
      </c>
      <c r="H39" s="5">
        <f>HYPERLINK("https://itrix.uz/product/1311", "🔗 Купить продукт")</f>
        <v/>
      </c>
      <c r="I39" t="inlineStr">
        <is>
          <t>8-1311-1018</t>
        </is>
      </c>
    </row>
    <row r="40" ht="30" customHeight="1">
      <c r="A40" s="4" t="inlineStr">
        <is>
          <t>Маршрутизаторы</t>
        </is>
      </c>
      <c r="B40" s="4" t="inlineStr">
        <is>
          <t>Маршрутизатор MikroTik L009UiGS-2HaxD</t>
        </is>
      </c>
      <c r="C40" s="5" t="inlineStr"/>
      <c r="D40" s="5" t="n">
        <v>1931050</v>
      </c>
      <c r="E40" s="5" t="n">
        <v>1724152</v>
      </c>
      <c r="F40" s="5" t="n">
        <v>1591564</v>
      </c>
      <c r="G40" s="5" t="inlineStr">
        <is>
          <t>Mikrotik</t>
        </is>
      </c>
      <c r="H40" s="5">
        <f>HYPERLINK("https://itrix.uz/product/1318", "🔗 Купить продукт")</f>
        <v/>
      </c>
      <c r="I40" t="inlineStr">
        <is>
          <t>8-1318-1019</t>
        </is>
      </c>
    </row>
    <row r="41" ht="30" customHeight="1">
      <c r="A41" s="4" t="inlineStr">
        <is>
          <t>Маршрутизаторы</t>
        </is>
      </c>
      <c r="B41" s="4" t="inlineStr">
        <is>
          <t>Маршрутизатор Ubiquiti Cloud Gateway Fiber</t>
        </is>
      </c>
      <c r="C41" s="5" t="inlineStr"/>
      <c r="D41" s="5" t="n">
        <v>5078964</v>
      </c>
      <c r="E41" s="5" t="n">
        <v>4534789</v>
      </c>
      <c r="F41" s="5" t="n">
        <v>4185920</v>
      </c>
      <c r="G41" s="5" t="inlineStr">
        <is>
          <t>UniFi UBIQUITI</t>
        </is>
      </c>
      <c r="H41" s="5">
        <f>HYPERLINK("https://itrix.uz/product/1404", "🔗 Купить продукт")</f>
        <v/>
      </c>
      <c r="I41" t="inlineStr">
        <is>
          <t>8-1404-1104</t>
        </is>
      </c>
    </row>
    <row r="42" ht="30" customHeight="1">
      <c r="A42" s="4" t="inlineStr">
        <is>
          <t>Маршрутизаторы</t>
        </is>
      </c>
      <c r="B42" s="4" t="inlineStr">
        <is>
          <t>Точка доступа MikroTik mANTBox ax 15s (L22UGS-5HaxD2HaxD-15S)</t>
        </is>
      </c>
      <c r="C42" s="5" t="inlineStr"/>
      <c r="D42" s="5" t="n">
        <v>2698151</v>
      </c>
      <c r="E42" s="5" t="n">
        <v>2409063</v>
      </c>
      <c r="F42" s="5" t="n">
        <v>2223770</v>
      </c>
      <c r="G42" s="5" t="inlineStr">
        <is>
          <t>Mikrotik</t>
        </is>
      </c>
      <c r="H42" s="5">
        <f>HYPERLINK("https://itrix.uz/product/1320", "🔗 Купить продукт")</f>
        <v/>
      </c>
      <c r="I42" t="inlineStr">
        <is>
          <t>8-1320-1021</t>
        </is>
      </c>
    </row>
    <row r="43" ht="30" customHeight="1">
      <c r="A43" s="4" t="inlineStr">
        <is>
          <t>Маршрутизаторы</t>
        </is>
      </c>
      <c r="B43" s="4" t="inlineStr">
        <is>
          <t>Точка доступа MikroTik hAP ax lite LTE6 (L41G-2axD&amp;FG621-EA)</t>
        </is>
      </c>
      <c r="C43" s="5" t="inlineStr"/>
      <c r="D43" s="5" t="n">
        <v>1798767</v>
      </c>
      <c r="E43" s="5" t="n">
        <v>1606042</v>
      </c>
      <c r="F43" s="5" t="n">
        <v>1482471</v>
      </c>
      <c r="G43" s="5" t="inlineStr">
        <is>
          <t>Mikrotik</t>
        </is>
      </c>
      <c r="H43" s="5">
        <f>HYPERLINK("https://itrix.uz/product/1321", "🔗 Купить продукт")</f>
        <v/>
      </c>
      <c r="I43" t="inlineStr">
        <is>
          <t>8-1321-1022</t>
        </is>
      </c>
    </row>
    <row r="44" ht="30" customHeight="1">
      <c r="A44" s="4" t="inlineStr">
        <is>
          <t>Маршрутизаторы</t>
        </is>
      </c>
      <c r="B44" s="4" t="inlineStr">
        <is>
          <t>Точка доступа MIKROTIK hAP ax lite LTE6 kit (L41G-2axD)</t>
        </is>
      </c>
      <c r="C44" s="5" t="inlineStr"/>
      <c r="D44" s="5" t="n">
        <v>899384</v>
      </c>
      <c r="E44" s="5" t="n">
        <v>803021</v>
      </c>
      <c r="F44" s="5" t="n">
        <v>741299</v>
      </c>
      <c r="G44" s="5" t="inlineStr">
        <is>
          <t>Mikrotik</t>
        </is>
      </c>
      <c r="H44" s="5">
        <f>HYPERLINK("https://itrix.uz/product/1322", "🔗 Купить продукт")</f>
        <v/>
      </c>
      <c r="I44" t="inlineStr">
        <is>
          <t>8-1322-1023</t>
        </is>
      </c>
    </row>
    <row r="45" ht="30" customHeight="1">
      <c r="A45" s="4" t="inlineStr">
        <is>
          <t>Маршрутизаторы</t>
        </is>
      </c>
      <c r="B45" s="4" t="inlineStr">
        <is>
          <t>Маршрутизатор MikroTik RB1100AHx4</t>
        </is>
      </c>
      <c r="C45" s="5" t="inlineStr"/>
      <c r="D45" s="5" t="n">
        <v>4549831</v>
      </c>
      <c r="E45" s="5" t="n">
        <v>4062349</v>
      </c>
      <c r="F45" s="5" t="n">
        <v>3749929</v>
      </c>
      <c r="G45" s="5" t="inlineStr">
        <is>
          <t>Mikrotik</t>
        </is>
      </c>
      <c r="H45" s="5">
        <f>HYPERLINK("https://itrix.uz/product/237", "🔗 Купить продукт")</f>
        <v/>
      </c>
      <c r="I45" t="inlineStr">
        <is>
          <t>8-237-239</t>
        </is>
      </c>
    </row>
    <row r="46" ht="30" customHeight="1">
      <c r="A46" s="4" t="inlineStr">
        <is>
          <t>Маршрутизаторы</t>
        </is>
      </c>
      <c r="B46" s="4" t="inlineStr">
        <is>
          <t>Маршрутизатор MikroTik RB5009UG+S+IN</t>
        </is>
      </c>
      <c r="C46" s="5" t="inlineStr"/>
      <c r="D46" s="5" t="n">
        <v>3227283</v>
      </c>
      <c r="E46" s="5" t="n">
        <v>2881503</v>
      </c>
      <c r="F46" s="5" t="n">
        <v>2659761</v>
      </c>
      <c r="G46" s="5" t="inlineStr">
        <is>
          <t>Mikrotik</t>
        </is>
      </c>
      <c r="H46" s="5">
        <f>HYPERLINK("https://itrix.uz/product/1324", "🔗 Купить продукт")</f>
        <v/>
      </c>
      <c r="I46" t="inlineStr">
        <is>
          <t>8-1324-1025</t>
        </is>
      </c>
    </row>
    <row r="47" ht="30" customHeight="1">
      <c r="A47" s="4" t="inlineStr">
        <is>
          <t>Маршрутизаторы</t>
        </is>
      </c>
      <c r="B47" s="4" t="inlineStr">
        <is>
          <t>Маршрутизатор MikroTik RB5009UPr+S+IN</t>
        </is>
      </c>
      <c r="C47" s="5" t="inlineStr"/>
      <c r="D47" s="5" t="n">
        <v>4338178</v>
      </c>
      <c r="E47" s="5" t="n">
        <v>3873373</v>
      </c>
      <c r="F47" s="5" t="n">
        <v>3575431</v>
      </c>
      <c r="G47" s="5" t="inlineStr">
        <is>
          <t>Mikrotik</t>
        </is>
      </c>
      <c r="H47" s="5">
        <f>HYPERLINK("https://itrix.uz/product/1325", "🔗 Купить продукт")</f>
        <v/>
      </c>
      <c r="I47" t="inlineStr">
        <is>
          <t>8-1325-1026</t>
        </is>
      </c>
    </row>
    <row r="48" ht="30" customHeight="1">
      <c r="A48" s="4" t="inlineStr">
        <is>
          <t>Маршрутизаторы</t>
        </is>
      </c>
      <c r="B48" s="4" t="inlineStr">
        <is>
          <t>Маршрутизатор MikroTik hEX (RB750Gr3)</t>
        </is>
      </c>
      <c r="C48" s="5" t="inlineStr"/>
      <c r="D48" s="5" t="n">
        <v>872927</v>
      </c>
      <c r="E48" s="5" t="n">
        <v>779399</v>
      </c>
      <c r="F48" s="5" t="n">
        <v>719455</v>
      </c>
      <c r="G48" s="5" t="inlineStr">
        <is>
          <t>Mikrotik</t>
        </is>
      </c>
      <c r="H48" s="5">
        <f>HYPERLINK("https://itrix.uz/product/1326", "🔗 Купить продукт")</f>
        <v/>
      </c>
      <c r="I48" t="inlineStr">
        <is>
          <t>8-1326-1027</t>
        </is>
      </c>
    </row>
    <row r="49" ht="30" customHeight="1">
      <c r="A49" s="4" t="inlineStr">
        <is>
          <t>Маршрутизаторы</t>
        </is>
      </c>
      <c r="B49" s="4" t="inlineStr">
        <is>
          <t>Маршрутизатор MikroTik hEX lite (RB750r2)</t>
        </is>
      </c>
      <c r="C49" s="5" t="inlineStr"/>
      <c r="D49" s="5" t="n">
        <v>714187</v>
      </c>
      <c r="E49" s="5" t="n">
        <v>637667</v>
      </c>
      <c r="F49" s="5" t="n">
        <v>588645</v>
      </c>
      <c r="G49" s="5" t="inlineStr">
        <is>
          <t>Mikrotik</t>
        </is>
      </c>
      <c r="H49" s="5">
        <f>HYPERLINK("https://itrix.uz/product/1327", "🔗 Купить продукт")</f>
        <v/>
      </c>
      <c r="I49" t="inlineStr">
        <is>
          <t>8-1327-1028</t>
        </is>
      </c>
    </row>
    <row r="50" ht="30" customHeight="1">
      <c r="A50" s="4" t="inlineStr">
        <is>
          <t>Маршрутизаторы</t>
        </is>
      </c>
      <c r="B50" s="4" t="inlineStr">
        <is>
          <t>Маршрутизатор MikroTik hAP lite TC (RB941-2nD-TC)</t>
        </is>
      </c>
      <c r="C50" s="5" t="inlineStr"/>
      <c r="D50" s="5" t="n">
        <v>370393</v>
      </c>
      <c r="E50" s="5" t="n">
        <v>330708</v>
      </c>
      <c r="F50" s="5" t="n">
        <v>305181</v>
      </c>
      <c r="G50" s="5" t="inlineStr">
        <is>
          <t>Mikrotik</t>
        </is>
      </c>
      <c r="H50" s="5">
        <f>HYPERLINK("https://itrix.uz/product/1328", "🔗 Купить продукт")</f>
        <v/>
      </c>
      <c r="I50" t="inlineStr">
        <is>
          <t>8-1328-1029</t>
        </is>
      </c>
    </row>
    <row r="51" ht="30" customHeight="1">
      <c r="A51" s="4" t="inlineStr">
        <is>
          <t>Маршрутизаторы</t>
        </is>
      </c>
      <c r="B51" s="4" t="inlineStr">
        <is>
          <t>Маршрутизатор MikroTik hAP ac 3 (RBD53iG-5HacD2HnD)</t>
        </is>
      </c>
      <c r="C51" s="5" t="inlineStr"/>
      <c r="D51" s="5" t="n">
        <v>1666484</v>
      </c>
      <c r="E51" s="5" t="n">
        <v>1487932</v>
      </c>
      <c r="F51" s="5" t="n">
        <v>1373505</v>
      </c>
      <c r="G51" s="5" t="inlineStr">
        <is>
          <t>Mikrotik</t>
        </is>
      </c>
      <c r="H51" s="5">
        <f>HYPERLINK("https://itrix.uz/product/1330", "🔗 Купить продукт")</f>
        <v/>
      </c>
      <c r="I51" t="inlineStr">
        <is>
          <t>8-1330-1031</t>
        </is>
      </c>
    </row>
    <row r="52" ht="30" customHeight="1">
      <c r="A52" s="4" t="inlineStr">
        <is>
          <t>Маршрутизаторы</t>
        </is>
      </c>
      <c r="B52" s="4" t="inlineStr">
        <is>
          <t>Маршрутизатор Ubiquiti Dream Machine (UDM)</t>
        </is>
      </c>
      <c r="C52" s="5" t="inlineStr"/>
      <c r="D52" s="5" t="n">
        <v>5555041</v>
      </c>
      <c r="E52" s="5" t="n">
        <v>4959858</v>
      </c>
      <c r="F52" s="5" t="n">
        <v>4578350</v>
      </c>
      <c r="G52" s="5" t="inlineStr">
        <is>
          <t>UniFi UBIQUITI</t>
        </is>
      </c>
      <c r="H52" s="5">
        <f>HYPERLINK("https://itrix.uz/product/1408", "🔗 Купить продукт")</f>
        <v/>
      </c>
      <c r="I52" t="inlineStr">
        <is>
          <t>8-1408-1108</t>
        </is>
      </c>
    </row>
    <row r="53" ht="30" customHeight="1">
      <c r="A53" s="4" t="inlineStr">
        <is>
          <t>Маршрутизаторы</t>
        </is>
      </c>
      <c r="B53" s="4" t="inlineStr">
        <is>
          <t>Wi-Fi роутер MikroTik wAP ax (wAPG-5HaxD2HaxD)</t>
        </is>
      </c>
      <c r="C53" s="5" t="inlineStr"/>
      <c r="D53" s="5" t="n">
        <v>1349146</v>
      </c>
      <c r="E53" s="5" t="n">
        <v>1204595</v>
      </c>
      <c r="F53" s="5" t="n">
        <v>1111885</v>
      </c>
      <c r="G53" s="5" t="inlineStr">
        <is>
          <t>Mikrotik</t>
        </is>
      </c>
      <c r="H53" s="5">
        <f>HYPERLINK("https://itrix.uz/product/1337", "🔗 Купить продукт")</f>
        <v/>
      </c>
      <c r="I53" t="inlineStr">
        <is>
          <t>8-1337-1038</t>
        </is>
      </c>
    </row>
    <row r="54" ht="30" customHeight="1">
      <c r="A54" s="4" t="inlineStr">
        <is>
          <t>Маршрутизаторы</t>
        </is>
      </c>
      <c r="B54" s="4" t="inlineStr">
        <is>
          <t>Маршрутизатор Ubiquiti Dream Machine Special Edition (UDM-SE)</t>
        </is>
      </c>
      <c r="C54" s="5" t="inlineStr"/>
      <c r="D54" s="5" t="n">
        <v>8835238</v>
      </c>
      <c r="E54" s="5" t="n">
        <v>7888605</v>
      </c>
      <c r="F54" s="5" t="n">
        <v>7281799</v>
      </c>
      <c r="G54" s="5" t="inlineStr">
        <is>
          <t>UniFi UBIQUITI</t>
        </is>
      </c>
      <c r="H54" s="5">
        <f>HYPERLINK("https://itrix.uz/product/1411", "🔗 Купить продукт")</f>
        <v/>
      </c>
      <c r="I54" t="inlineStr">
        <is>
          <t>8-1411-1111</t>
        </is>
      </c>
    </row>
    <row r="55" ht="30" customHeight="1">
      <c r="A55" s="4" t="inlineStr">
        <is>
          <t>Маршрутизаторы</t>
        </is>
      </c>
      <c r="B55" s="4" t="inlineStr">
        <is>
          <t>Маршрутизатор Cisco C8200-1N-4T</t>
        </is>
      </c>
      <c r="C55" s="5" t="inlineStr"/>
      <c r="D55" s="5" t="n">
        <v>74988928</v>
      </c>
      <c r="E55" s="5" t="n">
        <v>66954400</v>
      </c>
      <c r="F55" s="5" t="inlineStr"/>
      <c r="G55" s="5" t="inlineStr">
        <is>
          <t>Cisco</t>
        </is>
      </c>
      <c r="H55" s="5">
        <f>HYPERLINK("https://itrix.uz/product/1252", "🔗 Купить продукт")</f>
        <v/>
      </c>
      <c r="I55" t="inlineStr">
        <is>
          <t>8-1252-963</t>
        </is>
      </c>
    </row>
    <row r="56" ht="30" customHeight="1">
      <c r="A56" s="4" t="inlineStr">
        <is>
          <t>Маршрутизаторы</t>
        </is>
      </c>
      <c r="B56" s="4" t="inlineStr">
        <is>
          <t>Маршрутизатор Ubiquiti UniFi Dream Router (UDR7)</t>
        </is>
      </c>
      <c r="C56" s="5" t="inlineStr"/>
      <c r="D56" s="5" t="n">
        <v>5078964</v>
      </c>
      <c r="E56" s="5" t="n">
        <v>4534789</v>
      </c>
      <c r="F56" s="5" t="n">
        <v>4185920</v>
      </c>
      <c r="G56" s="5" t="inlineStr">
        <is>
          <t>UniFi UBIQUITI</t>
        </is>
      </c>
      <c r="H56" s="5">
        <f>HYPERLINK("https://itrix.uz/product/1412", "🔗 Купить продукт")</f>
        <v/>
      </c>
      <c r="I56" t="inlineStr">
        <is>
          <t>8-1412-1112</t>
        </is>
      </c>
    </row>
    <row r="57" ht="30" customHeight="1">
      <c r="A57" s="4" t="inlineStr">
        <is>
          <t>Маршрутизаторы</t>
        </is>
      </c>
      <c r="B57" s="4" t="inlineStr">
        <is>
          <t>Маршрутизатор Cisco Catalyst C8200L-1N-4T</t>
        </is>
      </c>
      <c r="C57" s="5" t="inlineStr"/>
      <c r="D57" s="5" t="n">
        <v>33312608</v>
      </c>
      <c r="E57" s="5" t="n">
        <v>29743400</v>
      </c>
      <c r="F57" s="5" t="inlineStr"/>
      <c r="G57" s="5" t="inlineStr">
        <is>
          <t>Cisco</t>
        </is>
      </c>
      <c r="H57" s="5">
        <f>HYPERLINK("https://itrix.uz/product/1256", "🔗 Купить продукт")</f>
        <v/>
      </c>
      <c r="I57" t="inlineStr">
        <is>
          <t>8-1256-967</t>
        </is>
      </c>
    </row>
    <row r="58" ht="30" customHeight="1">
      <c r="A58" s="4" t="inlineStr">
        <is>
          <t>Маршрутизаторы</t>
        </is>
      </c>
      <c r="B58" s="4" t="inlineStr">
        <is>
          <t>Маршрутизатор MikroTik hEX S RB760iGS</t>
        </is>
      </c>
      <c r="C58" s="5" t="inlineStr"/>
      <c r="D58" s="5" t="n">
        <v>1190407</v>
      </c>
      <c r="E58" s="5" t="n">
        <v>1062863</v>
      </c>
      <c r="F58" s="5" t="n">
        <v>981075</v>
      </c>
      <c r="G58" s="5" t="inlineStr">
        <is>
          <t>Mikrotik</t>
        </is>
      </c>
      <c r="H58" s="5">
        <f>HYPERLINK("https://itrix.uz/product/242", "🔗 Купить продукт")</f>
        <v/>
      </c>
      <c r="I58" t="inlineStr">
        <is>
          <t>8-242-244</t>
        </is>
      </c>
    </row>
    <row r="59" ht="30" customHeight="1">
      <c r="A59" s="4" t="inlineStr">
        <is>
          <t>Маршрутизаторы</t>
        </is>
      </c>
      <c r="B59" s="4" t="inlineStr">
        <is>
          <t>Маршрутизатор Grandstream GWN7001</t>
        </is>
      </c>
      <c r="C59" s="5" t="inlineStr"/>
      <c r="D59" s="5" t="n">
        <v>1058266</v>
      </c>
      <c r="E59" s="5" t="n">
        <v>944880</v>
      </c>
      <c r="F59" s="5" t="inlineStr"/>
      <c r="G59" s="5" t="inlineStr">
        <is>
          <t>Grandstream</t>
        </is>
      </c>
      <c r="H59" s="5">
        <f>HYPERLINK("https://itrix.uz/product/1263", "🔗 Купить продукт")</f>
        <v/>
      </c>
      <c r="I59" t="inlineStr">
        <is>
          <t>8-1263-974</t>
        </is>
      </c>
    </row>
    <row r="60" ht="30" customHeight="1">
      <c r="A60" s="4" t="inlineStr">
        <is>
          <t>Маршрутизаторы</t>
        </is>
      </c>
      <c r="B60" s="4" t="inlineStr">
        <is>
          <t>Маршрутизатор Grandstream GWN7003</t>
        </is>
      </c>
      <c r="C60" s="5" t="inlineStr"/>
      <c r="D60" s="5" t="n">
        <v>1891792</v>
      </c>
      <c r="E60" s="5" t="n">
        <v>1689100</v>
      </c>
      <c r="F60" s="5" t="inlineStr"/>
      <c r="G60" s="5" t="inlineStr">
        <is>
          <t>Grandstream</t>
        </is>
      </c>
      <c r="H60" s="5">
        <f>HYPERLINK("https://itrix.uz/product/1264", "🔗 Купить продукт")</f>
        <v/>
      </c>
      <c r="I60" t="inlineStr">
        <is>
          <t>8-1264-975</t>
        </is>
      </c>
    </row>
    <row r="61" ht="30" customHeight="1">
      <c r="A61" s="4" t="inlineStr">
        <is>
          <t>Маршрутизаторы</t>
        </is>
      </c>
      <c r="B61" s="4" t="inlineStr">
        <is>
          <t>Маршрутизатор Ubiquiti EdgeRouter (ER-X-SFP)</t>
        </is>
      </c>
      <c r="C61" s="5" t="inlineStr"/>
      <c r="D61" s="5" t="n">
        <v>1507744</v>
      </c>
      <c r="E61" s="5" t="n">
        <v>1346200</v>
      </c>
      <c r="F61" s="5" t="n">
        <v>1242695</v>
      </c>
      <c r="G61" s="5" t="inlineStr">
        <is>
          <t>UniFi UBIQUITI</t>
        </is>
      </c>
      <c r="H61" s="5">
        <f>HYPERLINK("https://itrix.uz/product/1344", "🔗 Купить продукт")</f>
        <v/>
      </c>
      <c r="I61" t="inlineStr">
        <is>
          <t>8-1344-1044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6AA519"/>
    <outlinePr summaryBelow="1" summaryRight="1"/>
    <pageSetUpPr/>
  </sheetPr>
  <dimension ref="A1:I18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Принтеры и комплектующие</t>
        </is>
      </c>
      <c r="B2" s="4" t="inlineStr">
        <is>
          <t>Тонер Canon C-EXV 1001 (B, C, M, Y, 5761C001AA)</t>
        </is>
      </c>
      <c r="C2" s="5" t="inlineStr"/>
      <c r="D2" s="5" t="n">
        <v>24536400</v>
      </c>
      <c r="E2" s="5" t="n">
        <v>21907500</v>
      </c>
      <c r="F2" s="5" t="inlineStr"/>
      <c r="G2" s="5" t="inlineStr">
        <is>
          <t>Canon</t>
        </is>
      </c>
      <c r="H2" s="5">
        <f>HYPERLINK("https://itrix.uz/product/1288", "🔗 Купить продукт")</f>
        <v/>
      </c>
      <c r="I2" t="inlineStr">
        <is>
          <t>55-1288-999</t>
        </is>
      </c>
    </row>
    <row r="3" ht="30" customHeight="1">
      <c r="A3" s="4" t="inlineStr">
        <is>
          <t>Принтеры и комплектующие</t>
        </is>
      </c>
      <c r="B3" s="4" t="inlineStr">
        <is>
          <t>Дополнительная кассета Canon Cassette Feeding Unit-AY1</t>
        </is>
      </c>
      <c r="C3" s="5" t="inlineStr"/>
      <c r="D3" s="5" t="n">
        <v>17780000</v>
      </c>
      <c r="E3" s="5" t="n">
        <v>15875000</v>
      </c>
      <c r="F3" s="5" t="inlineStr"/>
      <c r="G3" s="5" t="inlineStr">
        <is>
          <t>Canon</t>
        </is>
      </c>
      <c r="H3" s="5">
        <f>HYPERLINK("https://itrix.uz/product/1289", "🔗 Купить продукт")</f>
        <v/>
      </c>
      <c r="I3" t="inlineStr">
        <is>
          <t>55-1289-1000</t>
        </is>
      </c>
    </row>
    <row r="4" ht="30" customHeight="1">
      <c r="A4" s="4" t="inlineStr">
        <is>
          <t>Принтеры и комплектующие</t>
        </is>
      </c>
      <c r="B4" s="4" t="inlineStr">
        <is>
          <t>Струйный плоттер Canon image PROGRAF TX-4200</t>
        </is>
      </c>
      <c r="C4" s="5" t="inlineStr"/>
      <c r="D4" s="5" t="n">
        <v>64008000</v>
      </c>
      <c r="E4" s="5" t="n">
        <v>57150000</v>
      </c>
      <c r="F4" s="5" t="inlineStr"/>
      <c r="G4" s="5" t="inlineStr">
        <is>
          <t>Canon</t>
        </is>
      </c>
      <c r="H4" s="5">
        <f>HYPERLINK("https://itrix.uz/product/1285", "🔗 Купить продукт")</f>
        <v/>
      </c>
      <c r="I4" t="inlineStr">
        <is>
          <t>55-1285-996</t>
        </is>
      </c>
    </row>
    <row r="5" ht="30" customHeight="1">
      <c r="A5" s="4" t="inlineStr">
        <is>
          <t>Принтеры и комплектующие</t>
        </is>
      </c>
      <c r="B5" s="4" t="inlineStr">
        <is>
          <t>Принтер МФУ Canon imageRUNNER 2930i (5975C005AA)</t>
        </is>
      </c>
      <c r="C5" s="5" t="inlineStr"/>
      <c r="D5" s="5" t="n">
        <v>46228000</v>
      </c>
      <c r="E5" s="5" t="n">
        <v>41275000</v>
      </c>
      <c r="F5" s="5" t="inlineStr"/>
      <c r="G5" s="5" t="inlineStr">
        <is>
          <t>Canon</t>
        </is>
      </c>
      <c r="H5" s="5">
        <f>HYPERLINK("https://itrix.uz/product/1268", "🔗 Купить продукт")</f>
        <v/>
      </c>
      <c r="I5" t="inlineStr">
        <is>
          <t>55-1268-979</t>
        </is>
      </c>
    </row>
    <row r="6" ht="30" customHeight="1">
      <c r="A6" s="4" t="inlineStr">
        <is>
          <t>Принтеры и комплектующие</t>
        </is>
      </c>
      <c r="B6" s="4" t="inlineStr">
        <is>
          <t>Модуль WIRELESS LAN BOARD-F1 5984C001AA для оборудования Canon</t>
        </is>
      </c>
      <c r="C6" s="5" t="inlineStr"/>
      <c r="D6" s="5" t="n">
        <v>2311400</v>
      </c>
      <c r="E6" s="5" t="n">
        <v>2063750</v>
      </c>
      <c r="F6" s="5" t="inlineStr"/>
      <c r="G6" s="5" t="inlineStr">
        <is>
          <t>Canon</t>
        </is>
      </c>
      <c r="H6" s="5">
        <f>HYPERLINK("https://itrix.uz/product/1278", "🔗 Купить продукт")</f>
        <v/>
      </c>
      <c r="I6" t="inlineStr">
        <is>
          <t>55-1278-989</t>
        </is>
      </c>
    </row>
    <row r="7" ht="30" customHeight="1">
      <c r="A7" s="4" t="inlineStr">
        <is>
          <t>Принтеры и комплектующие</t>
        </is>
      </c>
      <c r="B7" s="4" t="inlineStr">
        <is>
          <t xml:space="preserve">МФУ Canon imageFORCE C5150 </t>
        </is>
      </c>
      <c r="C7" s="5" t="inlineStr"/>
      <c r="D7" s="5" t="n">
        <v>106680000</v>
      </c>
      <c r="E7" s="5" t="n">
        <v>95250000</v>
      </c>
      <c r="F7" s="5" t="inlineStr"/>
      <c r="G7" s="5" t="inlineStr">
        <is>
          <t>Canon</t>
        </is>
      </c>
      <c r="H7" s="5">
        <f>HYPERLINK("https://itrix.uz/product/1286", "🔗 Купить продукт")</f>
        <v/>
      </c>
      <c r="I7" t="inlineStr">
        <is>
          <t>55-1286-997</t>
        </is>
      </c>
    </row>
    <row r="8" ht="30" customHeight="1">
      <c r="A8" s="4" t="inlineStr">
        <is>
          <t>Принтеры и комплектующие</t>
        </is>
      </c>
      <c r="B8" s="4" t="inlineStr">
        <is>
          <t>Цветной лазерный принтер МФУ Canon imageRUNNER ADVANCE DX C3926i (5963C005AA)</t>
        </is>
      </c>
      <c r="C8" s="5" t="inlineStr"/>
      <c r="D8" s="5" t="n">
        <v>30226000</v>
      </c>
      <c r="E8" s="5" t="n">
        <v>26987500</v>
      </c>
      <c r="F8" s="5" t="inlineStr"/>
      <c r="G8" s="5" t="inlineStr">
        <is>
          <t>Canon</t>
        </is>
      </c>
      <c r="H8" s="5">
        <f>HYPERLINK("https://itrix.uz/product/1266", "🔗 Купить продукт")</f>
        <v/>
      </c>
      <c r="I8" t="inlineStr">
        <is>
          <t>55-1266-977</t>
        </is>
      </c>
    </row>
    <row r="9" ht="30" customHeight="1">
      <c r="A9" s="4" t="inlineStr">
        <is>
          <t>Принтеры и комплектующие</t>
        </is>
      </c>
      <c r="B9" s="4" t="inlineStr">
        <is>
          <t>Принтер МФУ Canon C3326I (5965C005AA) — цветное лазерное МФУ A3</t>
        </is>
      </c>
      <c r="C9" s="5" t="inlineStr"/>
      <c r="D9" s="5" t="n">
        <v>30226000</v>
      </c>
      <c r="E9" s="5" t="n">
        <v>26987500</v>
      </c>
      <c r="F9" s="5" t="inlineStr"/>
      <c r="G9" s="5" t="inlineStr">
        <is>
          <t>Canon</t>
        </is>
      </c>
      <c r="H9" s="5">
        <f>HYPERLINK("https://itrix.uz/product/1267", "🔗 Купить продукт")</f>
        <v/>
      </c>
      <c r="I9" t="inlineStr">
        <is>
          <t>55-1267-978</t>
        </is>
      </c>
    </row>
    <row r="10" ht="30" customHeight="1">
      <c r="A10" s="4" t="inlineStr">
        <is>
          <t>Принтеры и комплектующие</t>
        </is>
      </c>
      <c r="B10" s="4" t="inlineStr">
        <is>
          <t>Тонер Canon C-EXV 67 (5746C002AA) Black для лазерных принтеров Canon</t>
        </is>
      </c>
      <c r="C10" s="5" t="inlineStr"/>
      <c r="D10" s="5" t="n">
        <v>2133600</v>
      </c>
      <c r="E10" s="5" t="n">
        <v>1905000</v>
      </c>
      <c r="F10" s="5" t="inlineStr"/>
      <c r="G10" s="5" t="inlineStr">
        <is>
          <t>Canon</t>
        </is>
      </c>
      <c r="H10" s="5">
        <f>HYPERLINK("https://itrix.uz/product/1281", "🔗 Купить продукт")</f>
        <v/>
      </c>
      <c r="I10" t="inlineStr">
        <is>
          <t>55-1281-992</t>
        </is>
      </c>
    </row>
    <row r="11" ht="30" customHeight="1">
      <c r="A11" s="4" t="inlineStr">
        <is>
          <t>Принтеры и комплектующие</t>
        </is>
      </c>
      <c r="B11" s="4" t="inlineStr">
        <is>
          <t>Принтер МФУ Canon i-SENSYS MF463DW (+картридж)</t>
        </is>
      </c>
      <c r="C11" s="5" t="inlineStr"/>
      <c r="D11" s="5" t="n">
        <v>7467600</v>
      </c>
      <c r="E11" s="5" t="n">
        <v>6667500</v>
      </c>
      <c r="F11" s="5" t="inlineStr"/>
      <c r="G11" s="5" t="inlineStr">
        <is>
          <t>Canon</t>
        </is>
      </c>
      <c r="H11" s="5">
        <f>HYPERLINK("https://itrix.uz/product/1276", "🔗 Купить продукт")</f>
        <v/>
      </c>
      <c r="I11" t="inlineStr">
        <is>
          <t>55-1276-987</t>
        </is>
      </c>
    </row>
    <row r="12" ht="30" customHeight="1">
      <c r="A12" s="4" t="inlineStr">
        <is>
          <t>Принтеры и комплектующие</t>
        </is>
      </c>
      <c r="B12" s="4" t="inlineStr">
        <is>
          <t>Автоподатчик листов Canon DADF-BA1 3813C001AA</t>
        </is>
      </c>
      <c r="C12" s="5" t="inlineStr"/>
      <c r="D12" s="5" t="n">
        <v>8534400</v>
      </c>
      <c r="E12" s="5" t="n">
        <v>7620000</v>
      </c>
      <c r="F12" s="5" t="inlineStr"/>
      <c r="G12" s="5" t="inlineStr">
        <is>
          <t>Canon</t>
        </is>
      </c>
      <c r="H12" s="5">
        <f>HYPERLINK("https://itrix.uz/product/1277", "🔗 Купить продукт")</f>
        <v/>
      </c>
      <c r="I12" t="inlineStr">
        <is>
          <t>55-1277-988</t>
        </is>
      </c>
    </row>
    <row r="13" ht="30" customHeight="1">
      <c r="A13" s="4" t="inlineStr">
        <is>
          <t>Принтеры и комплектующие</t>
        </is>
      </c>
      <c r="B13" s="4" t="inlineStr">
        <is>
          <t>Тонер Canon C-EXV 64 (B,C,M,Y 5761C001AA)</t>
        </is>
      </c>
      <c r="C13" s="5" t="inlineStr"/>
      <c r="D13" s="5" t="n">
        <v>8890000</v>
      </c>
      <c r="E13" s="5" t="n">
        <v>7937500</v>
      </c>
      <c r="F13" s="5" t="inlineStr"/>
      <c r="G13" s="5" t="inlineStr">
        <is>
          <t>Canon</t>
        </is>
      </c>
      <c r="H13" s="5">
        <f>HYPERLINK("https://itrix.uz/product/1280", "🔗 Купить продукт")</f>
        <v/>
      </c>
      <c r="I13" t="inlineStr">
        <is>
          <t>55-1280-991</t>
        </is>
      </c>
    </row>
    <row r="14" ht="30" customHeight="1">
      <c r="A14" s="4" t="inlineStr">
        <is>
          <t>Принтеры и комплектующие</t>
        </is>
      </c>
      <c r="B14" s="4" t="inlineStr">
        <is>
          <t>МФУ лазерное Canon i-SENSYS MF237w +картридж (ч/б, Wi-Fi и факсом)</t>
        </is>
      </c>
      <c r="C14" s="5" t="inlineStr"/>
      <c r="D14" s="5" t="n">
        <v>5334000</v>
      </c>
      <c r="E14" s="5" t="n">
        <v>4762500</v>
      </c>
      <c r="F14" s="5" t="inlineStr"/>
      <c r="G14" s="5" t="inlineStr">
        <is>
          <t>Canon</t>
        </is>
      </c>
      <c r="H14" s="5">
        <f>HYPERLINK("https://itrix.uz/product/1282", "🔗 Купить продукт")</f>
        <v/>
      </c>
      <c r="I14" t="inlineStr">
        <is>
          <t>55-1282-993</t>
        </is>
      </c>
    </row>
    <row r="15" ht="30" customHeight="1">
      <c r="A15" s="4" t="inlineStr">
        <is>
          <t>Принтеры и комплектующие</t>
        </is>
      </c>
      <c r="B15" s="4" t="inlineStr">
        <is>
          <t>Плоттер Canon imagePROGRAF TM-255 — (широкоформатный струйный принтер)</t>
        </is>
      </c>
      <c r="C15" s="5" t="inlineStr"/>
      <c r="D15" s="5" t="n">
        <v>20447000</v>
      </c>
      <c r="E15" s="5" t="n">
        <v>18256250</v>
      </c>
      <c r="F15" s="5" t="inlineStr"/>
      <c r="G15" s="5" t="inlineStr"/>
      <c r="H15" s="5">
        <f>HYPERLINK("https://itrix.uz/product/1283", "🔗 Купить продукт")</f>
        <v/>
      </c>
      <c r="I15" t="inlineStr">
        <is>
          <t>55-1283-994</t>
        </is>
      </c>
    </row>
    <row r="16" ht="30" customHeight="1">
      <c r="A16" s="4" t="inlineStr">
        <is>
          <t>Принтеры и комплектующие</t>
        </is>
      </c>
      <c r="B16" s="4" t="inlineStr">
        <is>
          <t>Плоттер Canon imagePROGRAF TM-350 — широкоформатная печать высокого качества</t>
        </is>
      </c>
      <c r="C16" s="5" t="inlineStr"/>
      <c r="D16" s="5" t="n">
        <v>30226000</v>
      </c>
      <c r="E16" s="5" t="n">
        <v>26987500</v>
      </c>
      <c r="F16" s="5" t="inlineStr"/>
      <c r="G16" s="5" t="inlineStr">
        <is>
          <t>Canon</t>
        </is>
      </c>
      <c r="H16" s="5">
        <f>HYPERLINK("https://itrix.uz/product/1284", "🔗 Купить продукт")</f>
        <v/>
      </c>
      <c r="I16" t="inlineStr">
        <is>
          <t>55-1284-995</t>
        </is>
      </c>
    </row>
    <row r="17" ht="30" customHeight="1">
      <c r="A17" s="4" t="inlineStr">
        <is>
          <t>Принтеры и комплектующие</t>
        </is>
      </c>
      <c r="B17" s="4" t="inlineStr">
        <is>
          <t>Сетевой адаптер Canon Wireless LAN Board-F1 (для МФУ и принтеров Canon)</t>
        </is>
      </c>
      <c r="C17" s="5" t="inlineStr"/>
      <c r="D17" s="5" t="n">
        <v>2400300</v>
      </c>
      <c r="E17" s="5" t="n">
        <v>2143125</v>
      </c>
      <c r="F17" s="5" t="inlineStr"/>
      <c r="G17" s="5" t="inlineStr">
        <is>
          <t>Canon</t>
        </is>
      </c>
      <c r="H17" s="5">
        <f>HYPERLINK("https://itrix.uz/product/1287", "🔗 Купить продукт")</f>
        <v/>
      </c>
      <c r="I17" t="inlineStr">
        <is>
          <t>55-1287-998</t>
        </is>
      </c>
    </row>
    <row r="18" ht="30" customHeight="1">
      <c r="A18" s="4" t="inlineStr">
        <is>
          <t>Принтеры и комплектующие</t>
        </is>
      </c>
      <c r="B18" s="4" t="inlineStr">
        <is>
          <t>Тонер Canon C-EXV 65 (C, M, Y, K, 5763C001AA)</t>
        </is>
      </c>
      <c r="C18" s="5" t="inlineStr"/>
      <c r="D18" s="5" t="n">
        <v>7112000</v>
      </c>
      <c r="E18" s="5" t="n">
        <v>6350000</v>
      </c>
      <c r="F18" s="5" t="inlineStr"/>
      <c r="G18" s="5" t="inlineStr">
        <is>
          <t>Canon</t>
        </is>
      </c>
      <c r="H18" s="5">
        <f>HYPERLINK("https://itrix.uz/product/1279", "🔗 Купить продукт")</f>
        <v/>
      </c>
      <c r="I18" t="inlineStr">
        <is>
          <t>55-1279-990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C03895"/>
    <outlinePr summaryBelow="1" summaryRight="1"/>
    <pageSetUpPr/>
  </sheetPr>
  <dimension ref="A1:I104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Абонентские терминалы (ONU / ONT)</t>
        </is>
      </c>
      <c r="B2" s="4" t="inlineStr">
        <is>
          <t>Абонентский терминал ONU BDCOM GPON, 2 порта 10/100/1000Base-T</t>
        </is>
      </c>
      <c r="C2" s="5" t="inlineStr"/>
      <c r="D2" s="5" t="n">
        <v>722721</v>
      </c>
      <c r="E2" s="5" t="n">
        <v>645287</v>
      </c>
      <c r="F2" s="5" t="inlineStr"/>
      <c r="G2" s="5" t="inlineStr"/>
      <c r="H2" s="5">
        <f>HYPERLINK("https://itrix.uz/product/800", "🔗 Купить продукт")</f>
        <v/>
      </c>
      <c r="I2" t="inlineStr">
        <is>
          <t>43-800-703</t>
        </is>
      </c>
    </row>
    <row r="3" ht="30" customHeight="1">
      <c r="A3" s="4" t="inlineStr">
        <is>
          <t>SFP модули</t>
        </is>
      </c>
      <c r="B3" s="4" t="inlineStr">
        <is>
          <t xml:space="preserve">SFP-модуль Grandstream F-SM1310-10KM-10G </t>
        </is>
      </c>
      <c r="C3" s="5" t="inlineStr"/>
      <c r="D3" s="5" t="n">
        <v>465978</v>
      </c>
      <c r="E3" s="5" t="n">
        <v>416052</v>
      </c>
      <c r="F3" s="5" t="inlineStr"/>
      <c r="G3" s="5" t="inlineStr">
        <is>
          <t>Grandstream</t>
        </is>
      </c>
      <c r="H3" s="5">
        <f>HYPERLINK("https://itrix.uz/product/926", "🔗 Купить продукт")</f>
        <v/>
      </c>
      <c r="I3" t="inlineStr">
        <is>
          <t>43-926-816</t>
        </is>
      </c>
    </row>
    <row r="4" ht="30" customHeight="1">
      <c r="A4" s="4" t="inlineStr">
        <is>
          <t>SFP модули</t>
        </is>
      </c>
      <c r="B4" s="4" t="inlineStr">
        <is>
          <t>Модуль SFP WDM, дальность до 3км (6dB), 1310нм</t>
        </is>
      </c>
      <c r="C4" s="5" t="inlineStr"/>
      <c r="D4" s="5" t="n">
        <v>207955</v>
      </c>
      <c r="E4" s="5" t="n">
        <v>185674</v>
      </c>
      <c r="F4" s="5" t="inlineStr"/>
      <c r="G4" s="5" t="inlineStr">
        <is>
          <t>SNR</t>
        </is>
      </c>
      <c r="H4" s="5">
        <f>HYPERLINK("https://itrix.uz/product/788", "🔗 Купить продукт")</f>
        <v/>
      </c>
      <c r="I4" t="inlineStr">
        <is>
          <t>43-788-771</t>
        </is>
      </c>
    </row>
    <row r="5" ht="30" customHeight="1">
      <c r="A5" s="4" t="inlineStr">
        <is>
          <t>Абонентские терминалы (ONU / ONT)</t>
        </is>
      </c>
      <c r="B5" s="4" t="inlineStr">
        <is>
          <t>Абонентский терминал ONU GPON, 1 порт 10/100/1000Base-T, RF</t>
        </is>
      </c>
      <c r="C5" s="5" t="inlineStr"/>
      <c r="D5" s="5" t="n">
        <v>518607</v>
      </c>
      <c r="E5" s="5" t="n">
        <v>463042</v>
      </c>
      <c r="F5" s="5" t="inlineStr"/>
      <c r="G5" s="5" t="inlineStr"/>
      <c r="H5" s="5">
        <f>HYPERLINK("https://itrix.uz/product/737", "🔗 Купить продукт")</f>
        <v/>
      </c>
      <c r="I5" t="inlineStr">
        <is>
          <t>43-737-648</t>
        </is>
      </c>
    </row>
    <row r="6" ht="30" customHeight="1">
      <c r="A6" s="4" t="inlineStr">
        <is>
          <t>SFP модули</t>
        </is>
      </c>
      <c r="B6" s="4" t="inlineStr">
        <is>
          <t>Модуль SFP CWDM оптический, дальность до 60км (17dB), 1490нм</t>
        </is>
      </c>
      <c r="C6" s="5" t="inlineStr"/>
      <c r="D6" s="5" t="n">
        <v>1318138</v>
      </c>
      <c r="E6" s="5" t="n">
        <v>1176909</v>
      </c>
      <c r="F6" s="5" t="inlineStr"/>
      <c r="G6" s="5" t="inlineStr">
        <is>
          <t>SNR</t>
        </is>
      </c>
      <c r="H6" s="5">
        <f>HYPERLINK("https://itrix.uz/product/785", "🔗 Купить продукт")</f>
        <v/>
      </c>
      <c r="I6" t="inlineStr">
        <is>
          <t>43-785-639</t>
        </is>
      </c>
    </row>
    <row r="7" ht="30" customHeight="1">
      <c r="A7" s="4" t="inlineStr">
        <is>
          <t>SFP+ модули</t>
        </is>
      </c>
      <c r="B7" s="4" t="inlineStr">
        <is>
          <t>Модуль SFP+ 10G с интерфейсом RJ45, до 20м</t>
        </is>
      </c>
      <c r="C7" s="5" t="inlineStr"/>
      <c r="D7" s="5" t="n">
        <v>1148446</v>
      </c>
      <c r="E7" s="5" t="n">
        <v>1025398</v>
      </c>
      <c r="F7" s="5" t="inlineStr"/>
      <c r="G7" s="5" t="inlineStr">
        <is>
          <t>SNR</t>
        </is>
      </c>
      <c r="H7" s="5">
        <f>HYPERLINK("https://itrix.uz/product/739", "🔗 Купить продукт")</f>
        <v/>
      </c>
      <c r="I7" t="inlineStr">
        <is>
          <t>43-739-650</t>
        </is>
      </c>
    </row>
    <row r="8" ht="30" customHeight="1">
      <c r="A8" s="4" t="inlineStr">
        <is>
          <t>QSFP+ модули</t>
        </is>
      </c>
      <c r="B8" s="4" t="inlineStr">
        <is>
          <t>Двухволоконный модуль, QSFP+ 40GBASE-LR4, разъем LC, дальность до 20км</t>
        </is>
      </c>
      <c r="C8" s="5" t="inlineStr"/>
      <c r="D8" s="5" t="n">
        <v>6585996</v>
      </c>
      <c r="E8" s="5" t="n">
        <v>5880354</v>
      </c>
      <c r="F8" s="5" t="inlineStr"/>
      <c r="G8" s="5" t="inlineStr"/>
      <c r="H8" s="5">
        <f>HYPERLINK("https://itrix.uz/product/738", "🔗 Купить продукт")</f>
        <v/>
      </c>
      <c r="I8" t="inlineStr">
        <is>
          <t>43-738-649</t>
        </is>
      </c>
    </row>
    <row r="9" ht="30" customHeight="1">
      <c r="A9" s="4" t="inlineStr">
        <is>
          <t>QSFP+ модули</t>
        </is>
      </c>
      <c r="B9" s="4" t="inlineStr">
        <is>
          <t>Модуль, QSFP+ 40GBASE-SR4, разъем MPO, дальность до 100м</t>
        </is>
      </c>
      <c r="C9" s="5" t="inlineStr"/>
      <c r="D9" s="5" t="n">
        <v>1895632</v>
      </c>
      <c r="E9" s="5" t="n">
        <v>1692529</v>
      </c>
      <c r="F9" s="5" t="inlineStr"/>
      <c r="G9" s="5" t="inlineStr">
        <is>
          <t>SNR</t>
        </is>
      </c>
      <c r="H9" s="5">
        <f>HYPERLINK("https://itrix.uz/product/749", "🔗 Купить продукт")</f>
        <v/>
      </c>
      <c r="I9" t="inlineStr">
        <is>
          <t>43-749-659</t>
        </is>
      </c>
    </row>
    <row r="10" ht="30" customHeight="1">
      <c r="A10" s="4" t="inlineStr">
        <is>
          <t>SFP+ модули</t>
        </is>
      </c>
      <c r="B10" s="4" t="inlineStr">
        <is>
          <t>Модуль SFP+ DWDM оптический, дальность до 80км (24dB), 1529.55нм</t>
        </is>
      </c>
      <c r="C10" s="5" t="inlineStr"/>
      <c r="D10" s="5" t="n">
        <v>8666683</v>
      </c>
      <c r="E10" s="5" t="n">
        <v>7738110</v>
      </c>
      <c r="F10" s="5" t="inlineStr"/>
      <c r="G10" s="5" t="inlineStr">
        <is>
          <t>SNR</t>
        </is>
      </c>
      <c r="H10" s="5">
        <f>HYPERLINK("https://itrix.uz/product/762", "🔗 Купить продукт")</f>
        <v/>
      </c>
      <c r="I10" t="inlineStr">
        <is>
          <t>43-762-671</t>
        </is>
      </c>
    </row>
    <row r="11" ht="30" customHeight="1">
      <c r="A11" s="4" t="inlineStr">
        <is>
          <t>SFP модули</t>
        </is>
      </c>
      <c r="B11" s="4" t="inlineStr">
        <is>
          <t>Модуль SFP 100M с интерфейсом RJ45, до 100м</t>
        </is>
      </c>
      <c r="C11" s="5" t="inlineStr"/>
      <c r="D11" s="5" t="n">
        <v>955142</v>
      </c>
      <c r="E11" s="5" t="n">
        <v>852805</v>
      </c>
      <c r="F11" s="5" t="inlineStr"/>
      <c r="G11" s="5" t="inlineStr">
        <is>
          <t>SNR</t>
        </is>
      </c>
      <c r="H11" s="5">
        <f>HYPERLINK("https://itrix.uz/product/681", "🔗 Купить продукт")</f>
        <v/>
      </c>
      <c r="I11" t="inlineStr">
        <is>
          <t>43-681-626</t>
        </is>
      </c>
    </row>
    <row r="12" ht="30" customHeight="1">
      <c r="A12" s="4" t="inlineStr">
        <is>
          <t>SFP модули</t>
        </is>
      </c>
      <c r="B12" s="4" t="inlineStr">
        <is>
          <t>Модуль B-OptiX SFP WDM, дальность до 20км LC (14dB), 1550нм</t>
        </is>
      </c>
      <c r="C12" s="5" t="inlineStr"/>
      <c r="D12" s="5" t="n">
        <v>279359</v>
      </c>
      <c r="E12" s="5" t="n">
        <v>249428</v>
      </c>
      <c r="F12" s="5" t="inlineStr"/>
      <c r="G12" s="5" t="inlineStr"/>
      <c r="H12" s="5">
        <f>HYPERLINK("https://itrix.uz/product/816", "🔗 Купить продукт")</f>
        <v/>
      </c>
      <c r="I12" t="inlineStr">
        <is>
          <t>43-816-719</t>
        </is>
      </c>
    </row>
    <row r="13" ht="30" customHeight="1">
      <c r="A13" s="4" t="inlineStr">
        <is>
          <t>Абонентские терминалы (ONU / ONT)</t>
        </is>
      </c>
      <c r="B13" s="4" t="inlineStr">
        <is>
          <t>Абонентский терминал ONU GPON, 4 порта 10/100/1000Base-T, WiFi 2.4/5, С+</t>
        </is>
      </c>
      <c r="C13" s="5" t="inlineStr"/>
      <c r="D13" s="5" t="n">
        <v>808634</v>
      </c>
      <c r="E13" s="5" t="n">
        <v>721995</v>
      </c>
      <c r="F13" s="5" t="inlineStr"/>
      <c r="G13" s="5" t="inlineStr"/>
      <c r="H13" s="5">
        <f>HYPERLINK("https://itrix.uz/product/684", "🔗 Купить продукт")</f>
        <v/>
      </c>
      <c r="I13" t="inlineStr">
        <is>
          <t>43-684-629</t>
        </is>
      </c>
    </row>
    <row r="14" ht="30" customHeight="1">
      <c r="A14" s="4" t="inlineStr">
        <is>
          <t>Оптические делители</t>
        </is>
      </c>
      <c r="B14" s="4" t="inlineStr">
        <is>
          <t>Делитель оптический планарный PLC-M-1x2, бескорпусный, неоконцованный</t>
        </is>
      </c>
      <c r="C14" s="5" t="inlineStr"/>
      <c r="D14" s="5" t="n">
        <v>73396</v>
      </c>
      <c r="E14" s="5" t="n">
        <v>65532</v>
      </c>
      <c r="F14" s="5" t="inlineStr"/>
      <c r="G14" s="5" t="inlineStr">
        <is>
          <t>SNR</t>
        </is>
      </c>
      <c r="H14" s="5">
        <f>HYPERLINK("https://itrix.uz/product/687", "🔗 Купить продукт")</f>
        <v/>
      </c>
      <c r="I14" t="inlineStr">
        <is>
          <t>43-687-631</t>
        </is>
      </c>
    </row>
    <row r="15" ht="30" customHeight="1">
      <c r="A15" s="4" t="inlineStr">
        <is>
          <t>SFP+ модули</t>
        </is>
      </c>
      <c r="B15" s="4" t="inlineStr">
        <is>
          <t>Модуль SFP+ WDM, дальность до 40км (16dB), 1330нм</t>
        </is>
      </c>
      <c r="C15" s="5" t="inlineStr"/>
      <c r="D15" s="5" t="n">
        <v>1300216</v>
      </c>
      <c r="E15" s="5" t="n">
        <v>1160907</v>
      </c>
      <c r="F15" s="5" t="inlineStr"/>
      <c r="G15" s="5" t="inlineStr">
        <is>
          <t>SNR</t>
        </is>
      </c>
      <c r="H15" s="5">
        <f>HYPERLINK("https://itrix.uz/product/767", "🔗 Купить продукт")</f>
        <v/>
      </c>
      <c r="I15" t="inlineStr">
        <is>
          <t>43-767-676</t>
        </is>
      </c>
    </row>
    <row r="16" ht="30" customHeight="1">
      <c r="A16" s="4" t="inlineStr">
        <is>
          <t>Оптические делители</t>
        </is>
      </c>
      <c r="B16" s="4" t="inlineStr">
        <is>
          <t>Делитель оптический корпусный трехоконный 1х2 SC/APC</t>
        </is>
      </c>
      <c r="C16" s="5" t="inlineStr"/>
      <c r="D16" s="5" t="n">
        <v>97719</v>
      </c>
      <c r="E16" s="5" t="n">
        <v>87249</v>
      </c>
      <c r="F16" s="5" t="inlineStr"/>
      <c r="G16" s="5" t="inlineStr"/>
      <c r="H16" s="5">
        <f>HYPERLINK("https://itrix.uz/product/779", "🔗 Купить продукт")</f>
        <v/>
      </c>
      <c r="I16" t="inlineStr">
        <is>
          <t>43-779-686</t>
        </is>
      </c>
    </row>
    <row r="17" ht="30" customHeight="1">
      <c r="A17" s="4" t="inlineStr">
        <is>
          <t>SFP модули</t>
        </is>
      </c>
      <c r="B17" s="4" t="inlineStr">
        <is>
          <t>Модуль SFP оптический, дальность до 20 км (14dB), 1550нм, индустриальный</t>
        </is>
      </c>
      <c r="C17" s="5" t="inlineStr"/>
      <c r="D17" s="5" t="n">
        <v>507655</v>
      </c>
      <c r="E17" s="5" t="n">
        <v>453263</v>
      </c>
      <c r="F17" s="5" t="inlineStr"/>
      <c r="G17" s="5" t="inlineStr">
        <is>
          <t>SNR</t>
        </is>
      </c>
      <c r="H17" s="5">
        <f>HYPERLINK("https://itrix.uz/product/744", "🔗 Купить продукт")</f>
        <v/>
      </c>
      <c r="I17" t="inlineStr">
        <is>
          <t>43-744-654</t>
        </is>
      </c>
    </row>
    <row r="18" ht="30" customHeight="1">
      <c r="A18" s="4" t="inlineStr">
        <is>
          <t>SFP модули</t>
        </is>
      </c>
      <c r="B18" s="4" t="inlineStr">
        <is>
          <t>Модуль B-OptiX SFP с интерфейсом RJ45, до 100м</t>
        </is>
      </c>
      <c r="C18" s="5" t="inlineStr"/>
      <c r="D18" s="5" t="n">
        <v>338531</v>
      </c>
      <c r="E18" s="5" t="n">
        <v>302260</v>
      </c>
      <c r="F18" s="5" t="inlineStr"/>
      <c r="G18" s="5" t="inlineStr"/>
      <c r="H18" s="5">
        <f>HYPERLINK("https://itrix.uz/product/727", "🔗 Купить продукт")</f>
        <v/>
      </c>
      <c r="I18" t="inlineStr">
        <is>
          <t>43-727-636</t>
        </is>
      </c>
    </row>
    <row r="19" ht="30" customHeight="1">
      <c r="A19" s="4" t="inlineStr">
        <is>
          <t>SFP модули</t>
        </is>
      </c>
      <c r="B19" s="4" t="inlineStr">
        <is>
          <t>Модуль B-OptiX SFP WDM, дальность до 20км LC (14dB), 1310нм</t>
        </is>
      </c>
      <c r="C19" s="5" t="inlineStr"/>
      <c r="D19" s="5" t="n">
        <v>198140</v>
      </c>
      <c r="E19" s="5" t="n">
        <v>176911</v>
      </c>
      <c r="F19" s="5" t="inlineStr"/>
      <c r="G19" s="5" t="inlineStr"/>
      <c r="H19" s="5">
        <f>HYPERLINK("https://itrix.uz/product/728", "🔗 Купить продукт")</f>
        <v/>
      </c>
      <c r="I19" t="inlineStr">
        <is>
          <t>43-728-637</t>
        </is>
      </c>
    </row>
    <row r="20" ht="30" customHeight="1">
      <c r="A20" s="4" t="inlineStr">
        <is>
          <t>SFP модули</t>
        </is>
      </c>
      <c r="B20" s="4" t="inlineStr">
        <is>
          <t xml:space="preserve">Модуль SFP CWDM оптический, дальность до 60км (17dB), 1610нм </t>
        </is>
      </c>
      <c r="C20" s="5" t="inlineStr"/>
      <c r="D20" s="5" t="n">
        <v>1318138</v>
      </c>
      <c r="E20" s="5" t="n">
        <v>1176909</v>
      </c>
      <c r="F20" s="5" t="inlineStr"/>
      <c r="G20" s="5" t="inlineStr">
        <is>
          <t>SNR</t>
        </is>
      </c>
      <c r="H20" s="5">
        <f>HYPERLINK("https://itrix.uz/product/780", "🔗 Купить продукт")</f>
        <v/>
      </c>
      <c r="I20" t="inlineStr">
        <is>
          <t>43-780-687</t>
        </is>
      </c>
    </row>
    <row r="21" ht="30" customHeight="1">
      <c r="A21" s="4" t="inlineStr">
        <is>
          <t xml:space="preserve">Коробки распределительные </t>
        </is>
      </c>
      <c r="B21" s="4" t="inlineStr">
        <is>
          <t>Коробка распределительная оптическая SNR-FTTH-FDB-48A</t>
        </is>
      </c>
      <c r="C21" s="5" t="inlineStr"/>
      <c r="D21" s="5" t="n">
        <v>424729</v>
      </c>
      <c r="E21" s="5" t="n">
        <v>379222</v>
      </c>
      <c r="F21" s="5" t="inlineStr"/>
      <c r="G21" s="5" t="inlineStr">
        <is>
          <t>SNR</t>
        </is>
      </c>
      <c r="H21" s="5">
        <f>HYPERLINK("https://itrix.uz/product/683", "🔗 Купить продукт")</f>
        <v/>
      </c>
      <c r="I21" t="inlineStr">
        <is>
          <t>43-683-628</t>
        </is>
      </c>
    </row>
    <row r="22" ht="30" customHeight="1">
      <c r="A22" s="4" t="inlineStr">
        <is>
          <t>SFP модули</t>
        </is>
      </c>
      <c r="B22" s="4" t="inlineStr">
        <is>
          <t>Модуль SFP WDM, дальность до 20км (14dB), 1310нм, 100Mb</t>
        </is>
      </c>
      <c r="C22" s="5" t="inlineStr"/>
      <c r="D22" s="5" t="n">
        <v>391302</v>
      </c>
      <c r="E22" s="5" t="n">
        <v>349377</v>
      </c>
      <c r="F22" s="5" t="inlineStr"/>
      <c r="G22" s="5" t="inlineStr">
        <is>
          <t>SNR</t>
        </is>
      </c>
      <c r="H22" s="5">
        <f>HYPERLINK("https://itrix.uz/product/790", "🔗 Купить продукт")</f>
        <v/>
      </c>
      <c r="I22" t="inlineStr">
        <is>
          <t>43-790-693</t>
        </is>
      </c>
    </row>
    <row r="23" ht="30" customHeight="1">
      <c r="A23" s="4" t="inlineStr">
        <is>
          <t>SFP модули</t>
        </is>
      </c>
      <c r="B23" s="4" t="inlineStr">
        <is>
          <t>Модуль SFP WDM GEPON, дальность до 20км (32dB), Tx/Rx: 1490/1310нм</t>
        </is>
      </c>
      <c r="C23" s="5" t="inlineStr"/>
      <c r="D23" s="5" t="n">
        <v>805505</v>
      </c>
      <c r="E23" s="5" t="n">
        <v>719201</v>
      </c>
      <c r="F23" s="5" t="inlineStr"/>
      <c r="G23" s="5" t="inlineStr">
        <is>
          <t>SNR</t>
        </is>
      </c>
      <c r="H23" s="5">
        <f>HYPERLINK("https://itrix.uz/product/745", "🔗 Купить продукт")</f>
        <v/>
      </c>
      <c r="I23" t="inlineStr">
        <is>
          <t>43-745-655</t>
        </is>
      </c>
    </row>
    <row r="24" ht="30" customHeight="1">
      <c r="A24" s="4" t="inlineStr">
        <is>
          <t>SFP модули</t>
        </is>
      </c>
      <c r="B24" s="4" t="inlineStr">
        <is>
          <t>Модуль SFP CWDM оптический, дальность до 60км (17dB), 1590нм</t>
        </is>
      </c>
      <c r="C24" s="5" t="inlineStr"/>
      <c r="D24" s="5" t="n">
        <v>1318138</v>
      </c>
      <c r="E24" s="5" t="n">
        <v>1176909</v>
      </c>
      <c r="F24" s="5" t="inlineStr"/>
      <c r="G24" s="5" t="inlineStr">
        <is>
          <t>SNR</t>
        </is>
      </c>
      <c r="H24" s="5">
        <f>HYPERLINK("https://itrix.uz/product/781", "🔗 Купить продукт")</f>
        <v/>
      </c>
      <c r="I24" t="inlineStr">
        <is>
          <t>43-781-688</t>
        </is>
      </c>
    </row>
    <row r="25" ht="30" customHeight="1">
      <c r="A25" s="4" t="inlineStr">
        <is>
          <t>QSFP28 модули</t>
        </is>
      </c>
      <c r="B25" s="4" t="inlineStr">
        <is>
          <t>Модуль, QSFP28 100GBASE-LR4, разъем LC дальность до 10км</t>
        </is>
      </c>
      <c r="C25" s="5" t="inlineStr"/>
      <c r="D25" s="5" t="n">
        <v>8136128</v>
      </c>
      <c r="E25" s="5" t="n">
        <v>7264400</v>
      </c>
      <c r="F25" s="5" t="inlineStr"/>
      <c r="G25" s="5" t="inlineStr"/>
      <c r="H25" s="5">
        <f>HYPERLINK("https://itrix.uz/product/572", "🔗 Купить продукт")</f>
        <v/>
      </c>
      <c r="I25" t="inlineStr">
        <is>
          <t>43-572-533</t>
        </is>
      </c>
    </row>
    <row r="26" ht="30" customHeight="1">
      <c r="A26" s="4" t="inlineStr">
        <is>
          <t>Оптические делители</t>
        </is>
      </c>
      <c r="B26" s="4" t="inlineStr">
        <is>
          <t>Делитель оптический планарный SNR-PLC-1x16-SC/APC</t>
        </is>
      </c>
      <c r="C26" s="5" t="inlineStr"/>
      <c r="D26" s="5" t="n">
        <v>274523</v>
      </c>
      <c r="E26" s="5" t="n">
        <v>245110</v>
      </c>
      <c r="F26" s="5" t="inlineStr"/>
      <c r="G26" s="5" t="inlineStr">
        <is>
          <t>SNR</t>
        </is>
      </c>
      <c r="H26" s="5">
        <f>HYPERLINK("https://itrix.uz/product/771", "🔗 Купить продукт")</f>
        <v/>
      </c>
      <c r="I26" t="inlineStr">
        <is>
          <t>43-771-679</t>
        </is>
      </c>
    </row>
    <row r="27" ht="30" customHeight="1">
      <c r="A27" s="4" t="inlineStr">
        <is>
          <t>SFP28 модули</t>
        </is>
      </c>
      <c r="B27" s="4" t="inlineStr">
        <is>
          <t>Модуль B-OptiX SFP28, 25GBASE-SR, разъем LC, дальность до 100м</t>
        </is>
      </c>
      <c r="C27" s="5" t="inlineStr"/>
      <c r="D27" s="5" t="n">
        <v>2617216</v>
      </c>
      <c r="E27" s="5" t="n">
        <v>2336800</v>
      </c>
      <c r="F27" s="5" t="inlineStr"/>
      <c r="G27" s="5" t="inlineStr"/>
      <c r="H27" s="5">
        <f>HYPERLINK("https://itrix.uz/product/573", "🔗 Купить продукт")</f>
        <v/>
      </c>
      <c r="I27" t="inlineStr">
        <is>
          <t>43-573-534</t>
        </is>
      </c>
    </row>
    <row r="28" ht="30" customHeight="1">
      <c r="A28" s="4" t="inlineStr">
        <is>
          <t>SFP модули</t>
        </is>
      </c>
      <c r="B28" s="4" t="inlineStr">
        <is>
          <t>Модуль B-OptiX SFP WDM, дальность до 3км, 1310нм</t>
        </is>
      </c>
      <c r="C28" s="5" t="inlineStr"/>
      <c r="D28" s="5" t="n">
        <v>184912</v>
      </c>
      <c r="E28" s="5" t="n">
        <v>165100</v>
      </c>
      <c r="F28" s="5" t="inlineStr"/>
      <c r="G28" s="5" t="inlineStr"/>
      <c r="H28" s="5">
        <f>HYPERLINK("https://itrix.uz/product/678", "🔗 Купить продукт")</f>
        <v/>
      </c>
      <c r="I28" t="inlineStr">
        <is>
          <t>43-678-607</t>
        </is>
      </c>
    </row>
    <row r="29" ht="30" customHeight="1">
      <c r="A29" s="4" t="inlineStr">
        <is>
          <t>Абонентские терминалы (ONU / ONT)</t>
        </is>
      </c>
      <c r="B29" s="4" t="inlineStr">
        <is>
          <t>Абонентский терминал ONU XPON интегрированный в SFP модуль</t>
        </is>
      </c>
      <c r="C29" s="5" t="inlineStr"/>
      <c r="D29" s="5" t="n">
        <v>958271</v>
      </c>
      <c r="E29" s="5" t="n">
        <v>855599</v>
      </c>
      <c r="F29" s="5" t="inlineStr"/>
      <c r="G29" s="5" t="inlineStr"/>
      <c r="H29" s="5">
        <f>HYPERLINK("https://itrix.uz/product/689", "🔗 Купить продукт")</f>
        <v/>
      </c>
      <c r="I29" t="inlineStr">
        <is>
          <t>43-689-633</t>
        </is>
      </c>
    </row>
    <row r="30" ht="30" customHeight="1">
      <c r="A30" s="4" t="inlineStr">
        <is>
          <t>SFP модули</t>
        </is>
      </c>
      <c r="B30" s="4" t="inlineStr">
        <is>
          <t>Модуль SFP WDM, дальность до 20км (12dB), 1550нм, 100Mb</t>
        </is>
      </c>
      <c r="C30" s="5" t="inlineStr"/>
      <c r="D30" s="5" t="n">
        <v>299984</v>
      </c>
      <c r="E30" s="5" t="n">
        <v>267843</v>
      </c>
      <c r="F30" s="5" t="inlineStr"/>
      <c r="G30" s="5" t="inlineStr">
        <is>
          <t>SNR</t>
        </is>
      </c>
      <c r="H30" s="5">
        <f>HYPERLINK("https://itrix.uz/product/789", "🔗 Купить продукт")</f>
        <v/>
      </c>
      <c r="I30" t="inlineStr">
        <is>
          <t>43-789-772</t>
        </is>
      </c>
    </row>
    <row r="31" ht="30" customHeight="1">
      <c r="A31" s="4" t="inlineStr">
        <is>
          <t>Абонентские терминалы (ONU / ONT)</t>
        </is>
      </c>
      <c r="B31" s="4" t="inlineStr">
        <is>
          <t>Абонентский терминал ONU XPON, 1 порт 10/100/1000Base-T, в мини корпусе.</t>
        </is>
      </c>
      <c r="C31" s="5" t="inlineStr"/>
      <c r="D31" s="5" t="n">
        <v>289601</v>
      </c>
      <c r="E31" s="5" t="n">
        <v>258572</v>
      </c>
      <c r="F31" s="5" t="inlineStr"/>
      <c r="G31" s="5" t="inlineStr"/>
      <c r="H31" s="5">
        <f>HYPERLINK("https://itrix.uz/product/690", "🔗 Купить продукт")</f>
        <v/>
      </c>
      <c r="I31" t="inlineStr">
        <is>
          <t>43-690-634</t>
        </is>
      </c>
    </row>
    <row r="32" ht="30" customHeight="1">
      <c r="A32" s="4" t="inlineStr">
        <is>
          <t>SFP+ модули</t>
        </is>
      </c>
      <c r="B32" s="4" t="inlineStr">
        <is>
          <t>Модуль SFP+ WDM, дальность до 20км (12dB), 1330нм</t>
        </is>
      </c>
      <c r="C32" s="5" t="inlineStr"/>
      <c r="D32" s="5" t="n">
        <v>988141</v>
      </c>
      <c r="E32" s="5" t="n">
        <v>882269</v>
      </c>
      <c r="F32" s="5" t="inlineStr"/>
      <c r="G32" s="5" t="inlineStr">
        <is>
          <t>SNR</t>
        </is>
      </c>
      <c r="H32" s="5">
        <f>HYPERLINK("https://itrix.uz/product/773", "🔗 Купить продукт")</f>
        <v/>
      </c>
      <c r="I32" t="inlineStr">
        <is>
          <t>43-773-681</t>
        </is>
      </c>
    </row>
    <row r="33" ht="30" customHeight="1">
      <c r="A33" s="4" t="inlineStr">
        <is>
          <t>SFP модули</t>
        </is>
      </c>
      <c r="B33" s="4" t="inlineStr">
        <is>
          <t>Модуль SFP WDM GPON, дальность до 20км, Tx/Rx: 1490/1310нм (37dB)</t>
        </is>
      </c>
      <c r="C33" s="5" t="inlineStr"/>
      <c r="D33" s="5" t="n">
        <v>2013265</v>
      </c>
      <c r="E33" s="5" t="n">
        <v>1797558</v>
      </c>
      <c r="F33" s="5" t="inlineStr"/>
      <c r="G33" s="5" t="inlineStr">
        <is>
          <t>SNR</t>
        </is>
      </c>
      <c r="H33" s="5">
        <f>HYPERLINK("https://itrix.uz/product/688", "🔗 Купить продукт")</f>
        <v/>
      </c>
      <c r="I33" t="inlineStr">
        <is>
          <t>43-688-632</t>
        </is>
      </c>
    </row>
    <row r="34" ht="30" customHeight="1">
      <c r="A34" s="4" t="inlineStr">
        <is>
          <t>Абонентские терминалы (ONU / ONT)</t>
        </is>
      </c>
      <c r="B34" s="4" t="inlineStr">
        <is>
          <t>Абонентский терминал ONU GPON, 1 порт 10/100/1000Base-T, в мини корпусе.</t>
        </is>
      </c>
      <c r="C34" s="5" t="inlineStr"/>
      <c r="D34" s="5" t="n">
        <v>383906</v>
      </c>
      <c r="E34" s="5" t="n">
        <v>342773</v>
      </c>
      <c r="F34" s="5" t="inlineStr"/>
      <c r="G34" s="5" t="inlineStr"/>
      <c r="H34" s="5">
        <f>HYPERLINK("https://itrix.uz/product/686", "🔗 Купить продукт")</f>
        <v/>
      </c>
      <c r="I34" t="inlineStr">
        <is>
          <t>43-686-630</t>
        </is>
      </c>
    </row>
    <row r="35" ht="30" customHeight="1">
      <c r="A35" s="4" t="inlineStr">
        <is>
          <t>SFP модули</t>
        </is>
      </c>
      <c r="B35" s="4" t="inlineStr">
        <is>
          <t>Модуль SFP WDM, дальность до 20км LC (14dB), 1550нм</t>
        </is>
      </c>
      <c r="C35" s="5" t="inlineStr"/>
      <c r="D35" s="5" t="n">
        <v>387177</v>
      </c>
      <c r="E35" s="5" t="n">
        <v>345694</v>
      </c>
      <c r="F35" s="5" t="inlineStr"/>
      <c r="G35" s="5" t="inlineStr">
        <is>
          <t>SNR</t>
        </is>
      </c>
      <c r="H35" s="5">
        <f>HYPERLINK("https://itrix.uz/product/791", "🔗 Купить продукт")</f>
        <v/>
      </c>
      <c r="I35" t="inlineStr">
        <is>
          <t>43-791-694</t>
        </is>
      </c>
    </row>
    <row r="36">
      <c r="A36" s="4" t="inlineStr">
        <is>
          <t>Оптические мультиплексоры (CWDM/DWDM оборудование)</t>
        </is>
      </c>
      <c r="B36" s="4" t="inlineStr">
        <is>
          <t>Мультиплексор CWDM одноволоконный 4-х канальный (TRx: 1270, 1290, 1310, 1330, 1530, 1550, 1510, 1570нм)</t>
        </is>
      </c>
      <c r="C36" s="5" t="inlineStr"/>
      <c r="D36" s="5" t="n">
        <v>5091908</v>
      </c>
      <c r="E36" s="5" t="n">
        <v>4546346</v>
      </c>
      <c r="F36" s="5" t="inlineStr"/>
      <c r="G36" s="5" t="inlineStr"/>
      <c r="H36" s="5">
        <f>HYPERLINK("https://itrix.uz/product/747", "🔗 Купить продукт")</f>
        <v/>
      </c>
      <c r="I36" t="inlineStr">
        <is>
          <t>43-747-657</t>
        </is>
      </c>
    </row>
    <row r="37" ht="30" customHeight="1">
      <c r="A37" s="4" t="inlineStr">
        <is>
          <t>SFP модули</t>
        </is>
      </c>
      <c r="B37" s="4" t="inlineStr">
        <is>
          <t>Модуль SFP CWDM оптический, дальность до 60км (17dB), 1570нм</t>
        </is>
      </c>
      <c r="C37" s="5" t="inlineStr"/>
      <c r="D37" s="5" t="n">
        <v>1365077</v>
      </c>
      <c r="E37" s="5" t="n">
        <v>1218819</v>
      </c>
      <c r="F37" s="5" t="inlineStr"/>
      <c r="G37" s="5" t="inlineStr">
        <is>
          <t>SNR</t>
        </is>
      </c>
      <c r="H37" s="5">
        <f>HYPERLINK("https://itrix.uz/product/782", "🔗 Купить продукт")</f>
        <v/>
      </c>
      <c r="I37" t="inlineStr">
        <is>
          <t>43-782-689</t>
        </is>
      </c>
    </row>
    <row r="38" ht="30" customHeight="1">
      <c r="A38" s="4" t="inlineStr">
        <is>
          <t xml:space="preserve">Коробки распределительные </t>
        </is>
      </c>
      <c r="B38" s="4" t="inlineStr">
        <is>
          <t>Коробка распределительная оптическая BO-FTTH-FDB-08D</t>
        </is>
      </c>
      <c r="C38" s="5" t="inlineStr"/>
      <c r="D38" s="5" t="n">
        <v>107676</v>
      </c>
      <c r="E38" s="5" t="n">
        <v>96139</v>
      </c>
      <c r="F38" s="5" t="inlineStr"/>
      <c r="G38" s="5" t="inlineStr"/>
      <c r="H38" s="5">
        <f>HYPERLINK("https://itrix.uz/product/680", "🔗 Купить продукт")</f>
        <v/>
      </c>
      <c r="I38" t="inlineStr">
        <is>
          <t>43-680-625</t>
        </is>
      </c>
    </row>
    <row r="39" ht="30" customHeight="1">
      <c r="A39" s="4" t="inlineStr">
        <is>
          <t>SFP модули</t>
        </is>
      </c>
      <c r="B39" s="4" t="inlineStr">
        <is>
          <t>Модуль SFP WDM, дальность до 20км (12dB), 1490/1310nm</t>
        </is>
      </c>
      <c r="C39" s="5" t="inlineStr"/>
      <c r="D39" s="5" t="n">
        <v>654588</v>
      </c>
      <c r="E39" s="5" t="n">
        <v>584454</v>
      </c>
      <c r="F39" s="5" t="inlineStr"/>
      <c r="G39" s="5" t="inlineStr">
        <is>
          <t>SNR</t>
        </is>
      </c>
      <c r="H39" s="5">
        <f>HYPERLINK("https://itrix.uz/product/775", "🔗 Купить продукт")</f>
        <v/>
      </c>
      <c r="I39" t="inlineStr">
        <is>
          <t>43-775-683</t>
        </is>
      </c>
    </row>
    <row r="40" ht="30" customHeight="1">
      <c r="A40" s="4" t="inlineStr">
        <is>
          <t>SFP модули</t>
        </is>
      </c>
      <c r="B40" s="4" t="inlineStr">
        <is>
          <t>Модуль SFP CWDM оптический, дальность до 60км (17dB), 1510нм</t>
        </is>
      </c>
      <c r="C40" s="5" t="inlineStr"/>
      <c r="D40" s="5" t="n">
        <v>1282151</v>
      </c>
      <c r="E40" s="5" t="n">
        <v>1144778</v>
      </c>
      <c r="F40" s="5" t="inlineStr"/>
      <c r="G40" s="5" t="inlineStr">
        <is>
          <t>SNR</t>
        </is>
      </c>
      <c r="H40" s="5">
        <f>HYPERLINK("https://itrix.uz/product/784", "🔗 Купить продукт")</f>
        <v/>
      </c>
      <c r="I40" t="inlineStr">
        <is>
          <t>43-784-691</t>
        </is>
      </c>
    </row>
    <row r="41" ht="30" customHeight="1">
      <c r="A41" s="4" t="inlineStr">
        <is>
          <t>Абонентские терминалы (ONU / ONT)</t>
        </is>
      </c>
      <c r="B41" s="4" t="inlineStr">
        <is>
          <t>Абонентский терминал ONU GPON, 4 порта 10/100/1000Base-T, 2 порта POTS, WiFi 2.4/5</t>
        </is>
      </c>
      <c r="C41" s="5" t="inlineStr"/>
      <c r="D41" s="5" t="n">
        <v>900095</v>
      </c>
      <c r="E41" s="5" t="n">
        <v>803656</v>
      </c>
      <c r="F41" s="5" t="inlineStr"/>
      <c r="G41" s="5" t="inlineStr"/>
      <c r="H41" s="5">
        <f>HYPERLINK("https://itrix.uz/product/682", "🔗 Купить продукт")</f>
        <v/>
      </c>
      <c r="I41" t="inlineStr">
        <is>
          <t>43-682-627</t>
        </is>
      </c>
    </row>
    <row r="42" ht="30" customHeight="1">
      <c r="A42" s="4" t="inlineStr">
        <is>
          <t>SFP модули</t>
        </is>
      </c>
      <c r="B42" s="4" t="inlineStr">
        <is>
          <t>Модуль B-OptiX SFP WDM, дальность до 20км (14dB), 1310нм</t>
        </is>
      </c>
      <c r="C42" s="5" t="inlineStr"/>
      <c r="D42" s="5" t="n">
        <v>296428</v>
      </c>
      <c r="E42" s="5" t="n">
        <v>264668</v>
      </c>
      <c r="F42" s="5" t="inlineStr"/>
      <c r="G42" s="5" t="inlineStr"/>
      <c r="H42" s="5">
        <f>HYPERLINK("https://itrix.uz/product/730", "🔗 Купить продукт")</f>
        <v/>
      </c>
      <c r="I42" t="inlineStr">
        <is>
          <t>43-730-640</t>
        </is>
      </c>
    </row>
    <row r="43" ht="30" customHeight="1">
      <c r="A43" s="4" t="inlineStr">
        <is>
          <t>SFP модули</t>
        </is>
      </c>
      <c r="B43" s="4" t="inlineStr">
        <is>
          <t>Модуль B-OptiX SFP WDM, дальность до 3км (6dB), 1550нм</t>
        </is>
      </c>
      <c r="C43" s="5" t="inlineStr"/>
      <c r="D43" s="5" t="n">
        <v>198140</v>
      </c>
      <c r="E43" s="5" t="n">
        <v>176911</v>
      </c>
      <c r="F43" s="5" t="inlineStr"/>
      <c r="G43" s="5" t="inlineStr"/>
      <c r="H43" s="5">
        <f>HYPERLINK("https://itrix.uz/product/677", "🔗 Купить продукт")</f>
        <v/>
      </c>
      <c r="I43" t="inlineStr">
        <is>
          <t>43-677-641</t>
        </is>
      </c>
    </row>
    <row r="44" ht="30" customHeight="1">
      <c r="A44" s="4" t="inlineStr">
        <is>
          <t>SFP+ модули</t>
        </is>
      </c>
      <c r="B44" s="4" t="inlineStr">
        <is>
          <t>Модуль SFP+ DWDM оптический, дальность до 80км (24dB), 1549.32нм</t>
        </is>
      </c>
      <c r="C44" s="5" t="inlineStr"/>
      <c r="D44" s="5" t="n">
        <v>8666683</v>
      </c>
      <c r="E44" s="5" t="n">
        <v>7738110</v>
      </c>
      <c r="F44" s="5" t="inlineStr"/>
      <c r="G44" s="5" t="inlineStr">
        <is>
          <t>SNR</t>
        </is>
      </c>
      <c r="H44" s="5">
        <f>HYPERLINK("https://itrix.uz/product/765", "🔗 Купить продукт")</f>
        <v/>
      </c>
      <c r="I44" t="inlineStr">
        <is>
          <t>43-765-674</t>
        </is>
      </c>
    </row>
    <row r="45" ht="30" customHeight="1">
      <c r="A45" s="4" t="inlineStr">
        <is>
          <t>Оптические делители</t>
        </is>
      </c>
      <c r="B45" s="4" t="inlineStr">
        <is>
          <t>Делитель оптический планарный PLC-M-1x4, бескорпусный, разъемы SC/APC</t>
        </is>
      </c>
      <c r="C45" s="5" t="inlineStr"/>
      <c r="D45" s="5" t="n">
        <v>93025</v>
      </c>
      <c r="E45" s="5" t="n">
        <v>83058</v>
      </c>
      <c r="F45" s="5" t="inlineStr"/>
      <c r="G45" s="5" t="inlineStr"/>
      <c r="H45" s="5">
        <f>HYPERLINK("https://itrix.uz/product/731", "🔗 Купить продукт")</f>
        <v/>
      </c>
      <c r="I45" t="inlineStr">
        <is>
          <t>43-731-642</t>
        </is>
      </c>
    </row>
    <row r="46" ht="30" customHeight="1">
      <c r="A46" s="4" t="inlineStr">
        <is>
          <t>Оптические делители</t>
        </is>
      </c>
      <c r="B46" s="4" t="inlineStr">
        <is>
          <t xml:space="preserve">Делитель оптический планарный Alpha Mile 1x16-SC/APC </t>
        </is>
      </c>
      <c r="C46" s="5" t="inlineStr"/>
      <c r="D46" s="5" t="n">
        <v>231993</v>
      </c>
      <c r="E46" s="5" t="n">
        <v>207137</v>
      </c>
      <c r="F46" s="5" t="inlineStr"/>
      <c r="G46" s="5" t="inlineStr"/>
      <c r="H46" s="5">
        <f>HYPERLINK("https://itrix.uz/product/733", "🔗 Купить продукт")</f>
        <v/>
      </c>
      <c r="I46" t="inlineStr">
        <is>
          <t>43-733-644</t>
        </is>
      </c>
    </row>
    <row r="47" ht="30" customHeight="1">
      <c r="A47" s="4" t="inlineStr">
        <is>
          <t xml:space="preserve">Коробки распределительные </t>
        </is>
      </c>
      <c r="B47" s="4" t="inlineStr">
        <is>
          <t>Коробка распределительная оптическая SNR-FTTH-FDB-16A</t>
        </is>
      </c>
      <c r="C47" s="5" t="inlineStr"/>
      <c r="D47" s="5" t="n">
        <v>414487</v>
      </c>
      <c r="E47" s="5" t="n">
        <v>370078</v>
      </c>
      <c r="F47" s="5" t="inlineStr"/>
      <c r="G47" s="5" t="inlineStr">
        <is>
          <t>SNR</t>
        </is>
      </c>
      <c r="H47" s="5">
        <f>HYPERLINK("https://itrix.uz/product/732", "🔗 Купить продукт")</f>
        <v/>
      </c>
      <c r="I47" t="inlineStr">
        <is>
          <t>43-732-643</t>
        </is>
      </c>
    </row>
    <row r="48" ht="30" customHeight="1">
      <c r="A48" s="4" t="inlineStr">
        <is>
          <t>SFP+ модули</t>
        </is>
      </c>
      <c r="B48" s="4" t="inlineStr">
        <is>
          <t>Модуль SFP+ оптический, дальность до 20км (11dB), 1310нм</t>
        </is>
      </c>
      <c r="C48" s="5" t="inlineStr"/>
      <c r="D48" s="5" t="n">
        <v>650890</v>
      </c>
      <c r="E48" s="5" t="n">
        <v>581152</v>
      </c>
      <c r="F48" s="5" t="inlineStr"/>
      <c r="G48" s="5" t="inlineStr">
        <is>
          <t>SNR</t>
        </is>
      </c>
      <c r="H48" s="5">
        <f>HYPERLINK("https://itrix.uz/product/817", "🔗 Купить продукт")</f>
        <v/>
      </c>
      <c r="I48" t="inlineStr">
        <is>
          <t>43-817-720</t>
        </is>
      </c>
    </row>
    <row r="49" ht="30" customHeight="1">
      <c r="A49" s="4" t="inlineStr">
        <is>
          <t>SFP модули</t>
        </is>
      </c>
      <c r="B49" s="4" t="inlineStr">
        <is>
          <t>Модуль SFP оптический, дальность до 20 км (14dB), 1310нм, индустриальный</t>
        </is>
      </c>
      <c r="C49" s="5" t="inlineStr"/>
      <c r="D49" s="5" t="n">
        <v>507655</v>
      </c>
      <c r="E49" s="5" t="n">
        <v>453263</v>
      </c>
      <c r="F49" s="5" t="inlineStr"/>
      <c r="G49" s="5" t="inlineStr">
        <is>
          <t>SNR</t>
        </is>
      </c>
      <c r="H49" s="5">
        <f>HYPERLINK("https://itrix.uz/product/743", "🔗 Купить продукт")</f>
        <v/>
      </c>
      <c r="I49" t="inlineStr">
        <is>
          <t>43-743-653</t>
        </is>
      </c>
    </row>
    <row r="50" ht="30" customHeight="1">
      <c r="A50" s="4" t="inlineStr">
        <is>
          <t>SFP модули</t>
        </is>
      </c>
      <c r="B50" s="4" t="inlineStr">
        <is>
          <t xml:space="preserve">Модуль B-OptiX SFP WDM, дальность до 20км (14dB), 1550нм </t>
        </is>
      </c>
      <c r="C50" s="5" t="inlineStr"/>
      <c r="D50" s="5" t="n">
        <v>261864</v>
      </c>
      <c r="E50" s="5" t="n">
        <v>233807</v>
      </c>
      <c r="F50" s="5" t="inlineStr"/>
      <c r="G50" s="5" t="inlineStr"/>
      <c r="H50" s="5">
        <f>HYPERLINK("https://itrix.uz/product/729", "🔗 Купить продукт")</f>
        <v/>
      </c>
      <c r="I50" t="inlineStr">
        <is>
          <t>43-729-638</t>
        </is>
      </c>
    </row>
    <row r="51" ht="30" customHeight="1">
      <c r="A51" s="4" t="inlineStr">
        <is>
          <t>SFP модули</t>
        </is>
      </c>
      <c r="B51" s="4" t="inlineStr">
        <is>
          <t>Модуль SFP WDM, дальность до 3км (6dB), 1550нм, индустриальный</t>
        </is>
      </c>
      <c r="C51" s="5" t="inlineStr"/>
      <c r="D51" s="5" t="n">
        <v>207955</v>
      </c>
      <c r="E51" s="5" t="n">
        <v>185674</v>
      </c>
      <c r="F51" s="5" t="inlineStr"/>
      <c r="G51" s="5" t="inlineStr">
        <is>
          <t>SNR</t>
        </is>
      </c>
      <c r="H51" s="5">
        <f>HYPERLINK("https://itrix.uz/product/741", "🔗 Купить продукт")</f>
        <v/>
      </c>
      <c r="I51" t="inlineStr">
        <is>
          <t>43-741-651</t>
        </is>
      </c>
    </row>
    <row r="52" ht="30" customHeight="1">
      <c r="A52" s="4" t="inlineStr">
        <is>
          <t>SFP модули</t>
        </is>
      </c>
      <c r="B52" s="4" t="inlineStr">
        <is>
          <t>Модуль SFP оптический, дальность до 20км (14dB), 1310нм, индустриальный</t>
        </is>
      </c>
      <c r="C52" s="5" t="inlineStr"/>
      <c r="D52" s="5" t="n">
        <v>507655</v>
      </c>
      <c r="E52" s="5" t="n">
        <v>453263</v>
      </c>
      <c r="F52" s="5" t="inlineStr"/>
      <c r="G52" s="5" t="inlineStr">
        <is>
          <t>SNR</t>
        </is>
      </c>
      <c r="H52" s="5">
        <f>HYPERLINK("https://itrix.uz/product/742", "🔗 Купить продукт")</f>
        <v/>
      </c>
      <c r="I52" t="inlineStr">
        <is>
          <t>43-742-652</t>
        </is>
      </c>
    </row>
    <row r="53" ht="30" customHeight="1">
      <c r="A53" s="4" t="inlineStr">
        <is>
          <t>Абонентские терминалы (ONU / ONT)</t>
        </is>
      </c>
      <c r="B53" s="4" t="inlineStr">
        <is>
          <t>Абонентский терминал ONU GEPON, 1 порт 10/100/1000Base-T, в мини корпусе, совместим с BDCOM</t>
        </is>
      </c>
      <c r="C53" s="5" t="inlineStr"/>
      <c r="D53" s="5" t="n">
        <v>193304</v>
      </c>
      <c r="E53" s="5" t="n">
        <v>172593</v>
      </c>
      <c r="F53" s="5" t="inlineStr"/>
      <c r="G53" s="5" t="inlineStr">
        <is>
          <t>SNR</t>
        </is>
      </c>
      <c r="H53" s="5">
        <f>HYPERLINK("https://itrix.uz/product/734", "🔗 Купить продукт")</f>
        <v/>
      </c>
      <c r="I53" t="inlineStr">
        <is>
          <t>43-734-645</t>
        </is>
      </c>
    </row>
    <row r="54" ht="30" customHeight="1">
      <c r="A54" s="4" t="inlineStr">
        <is>
          <t xml:space="preserve">Коробки распределительные </t>
        </is>
      </c>
      <c r="B54" s="4" t="inlineStr">
        <is>
          <t>Розетка оптическая SNR-FTB-02F</t>
        </is>
      </c>
      <c r="C54" s="5" t="inlineStr"/>
      <c r="D54" s="5" t="n">
        <v>16073</v>
      </c>
      <c r="E54" s="5" t="n">
        <v>14351</v>
      </c>
      <c r="F54" s="5" t="inlineStr"/>
      <c r="G54" s="5" t="inlineStr">
        <is>
          <t>SNR</t>
        </is>
      </c>
      <c r="H54" s="5">
        <f>HYPERLINK("https://itrix.uz/product/746", "🔗 Купить продукт")</f>
        <v/>
      </c>
      <c r="I54" t="inlineStr">
        <is>
          <t>43-746-656</t>
        </is>
      </c>
    </row>
    <row r="55" ht="30" customHeight="1">
      <c r="A55" s="4" t="inlineStr">
        <is>
          <t>SFP модули</t>
        </is>
      </c>
      <c r="B55" s="4" t="inlineStr">
        <is>
          <t xml:space="preserve">Модуль SFP оптический, дальность до 2км (12dB), 1310нм </t>
        </is>
      </c>
      <c r="C55" s="5" t="inlineStr"/>
      <c r="D55" s="5" t="n">
        <v>438953</v>
      </c>
      <c r="E55" s="5" t="n">
        <v>391922</v>
      </c>
      <c r="F55" s="5" t="inlineStr"/>
      <c r="G55" s="5" t="inlineStr">
        <is>
          <t>SNR</t>
        </is>
      </c>
      <c r="H55" s="5">
        <f>HYPERLINK("https://itrix.uz/product/748", "🔗 Купить продукт")</f>
        <v/>
      </c>
      <c r="I55" t="inlineStr">
        <is>
          <t>43-748-658</t>
        </is>
      </c>
    </row>
    <row r="56" ht="30" customHeight="1">
      <c r="A56" s="4" t="inlineStr">
        <is>
          <t>QSFP+ модули</t>
        </is>
      </c>
      <c r="B56" s="4" t="inlineStr">
        <is>
          <t>Двухволоконный модуль, QSFP+ 40GBASE-LR4, разъем LC, дальность до 10км</t>
        </is>
      </c>
      <c r="C56" s="5" t="inlineStr"/>
      <c r="D56" s="5" t="n">
        <v>6058713</v>
      </c>
      <c r="E56" s="5" t="n">
        <v>5409565</v>
      </c>
      <c r="F56" s="5" t="inlineStr"/>
      <c r="G56" s="5" t="inlineStr">
        <is>
          <t>SNR</t>
        </is>
      </c>
      <c r="H56" s="5">
        <f>HYPERLINK("https://itrix.uz/product/750", "🔗 Купить продукт")</f>
        <v/>
      </c>
      <c r="I56" t="inlineStr">
        <is>
          <t>43-750-660</t>
        </is>
      </c>
    </row>
    <row r="57" ht="30" customHeight="1">
      <c r="A57" s="4" t="inlineStr">
        <is>
          <t>Оптические мультиплексоры (CWDM/DWDM оборудование)</t>
        </is>
      </c>
      <c r="B57" s="4" t="inlineStr">
        <is>
          <t>Мультиплексор DWDM одноволоконный 8-канальный в 1/2-слоте</t>
        </is>
      </c>
      <c r="C57" s="5" t="inlineStr"/>
      <c r="D57" s="5" t="n">
        <v>14398813</v>
      </c>
      <c r="E57" s="5" t="n">
        <v>12856083</v>
      </c>
      <c r="F57" s="5" t="inlineStr"/>
      <c r="G57" s="5" t="inlineStr"/>
      <c r="H57" s="5">
        <f>HYPERLINK("https://itrix.uz/product/751", "🔗 Купить продукт")</f>
        <v/>
      </c>
      <c r="I57" t="inlineStr">
        <is>
          <t>43-751-661</t>
        </is>
      </c>
    </row>
    <row r="58" ht="30" customHeight="1">
      <c r="A58" s="4" t="inlineStr">
        <is>
          <t>SFP+ модули</t>
        </is>
      </c>
      <c r="B58" s="4" t="inlineStr">
        <is>
          <t>Модуль B-OptiX SFP+ оптический, дальность до 300м, 850нм</t>
        </is>
      </c>
      <c r="C58" s="5" t="inlineStr"/>
      <c r="D58" s="5" t="n">
        <v>330424</v>
      </c>
      <c r="E58" s="5" t="n">
        <v>295021</v>
      </c>
      <c r="F58" s="5" t="inlineStr"/>
      <c r="G58" s="5" t="inlineStr"/>
      <c r="H58" s="5">
        <f>HYPERLINK("https://itrix.uz/product/695", "🔗 Купить продукт")</f>
        <v/>
      </c>
      <c r="I58" t="inlineStr">
        <is>
          <t>43-695-635</t>
        </is>
      </c>
    </row>
    <row r="59" ht="30" customHeight="1">
      <c r="A59" s="4" t="inlineStr">
        <is>
          <t>SFP модули</t>
        </is>
      </c>
      <c r="B59" s="4" t="inlineStr">
        <is>
          <t xml:space="preserve">Модуль SFP WDM GPON, дальность до 20км (35dB), Tx/Rx: 1490/1310нм </t>
        </is>
      </c>
      <c r="C59" s="5" t="inlineStr"/>
      <c r="D59" s="5" t="n">
        <v>1812849</v>
      </c>
      <c r="E59" s="5" t="n">
        <v>1618615</v>
      </c>
      <c r="F59" s="5" t="inlineStr"/>
      <c r="G59" s="5" t="inlineStr">
        <is>
          <t>SNR</t>
        </is>
      </c>
      <c r="H59" s="5">
        <f>HYPERLINK("https://itrix.uz/product/752", "🔗 Купить продукт")</f>
        <v/>
      </c>
      <c r="I59" t="inlineStr">
        <is>
          <t>43-752-662</t>
        </is>
      </c>
    </row>
    <row r="60" ht="30" customHeight="1">
      <c r="A60" s="4" t="inlineStr">
        <is>
          <t>Адаптеры и конвертеры модулей</t>
        </is>
      </c>
      <c r="B60" s="4" t="inlineStr">
        <is>
          <t>Конвертер интерфейсов Xenpak в SFP+</t>
        </is>
      </c>
      <c r="C60" s="5" t="inlineStr"/>
      <c r="D60" s="5" t="n">
        <v>3191297</v>
      </c>
      <c r="E60" s="5" t="n">
        <v>2849372</v>
      </c>
      <c r="F60" s="5" t="inlineStr"/>
      <c r="G60" s="5" t="inlineStr"/>
      <c r="H60" s="5">
        <f>HYPERLINK("https://itrix.uz/product/756", "🔗 Купить продукт")</f>
        <v/>
      </c>
      <c r="I60" t="inlineStr">
        <is>
          <t>43-756-665</t>
        </is>
      </c>
    </row>
    <row r="61" ht="30" customHeight="1">
      <c r="A61" s="4" t="inlineStr">
        <is>
          <t>SFP модули</t>
        </is>
      </c>
      <c r="B61" s="4" t="inlineStr">
        <is>
          <t>Модуль SFP WDM, дальность до 3км LC (6dB), 1310нм</t>
        </is>
      </c>
      <c r="C61" s="5" t="inlineStr"/>
      <c r="D61" s="5" t="n">
        <v>352186</v>
      </c>
      <c r="E61" s="5" t="n">
        <v>314452</v>
      </c>
      <c r="F61" s="5" t="inlineStr"/>
      <c r="G61" s="5" t="inlineStr">
        <is>
          <t>SNR</t>
        </is>
      </c>
      <c r="H61" s="5">
        <f>HYPERLINK("https://itrix.uz/product/768", "🔗 Купить продукт")</f>
        <v/>
      </c>
      <c r="I61" t="inlineStr">
        <is>
          <t>43-768-677</t>
        </is>
      </c>
    </row>
    <row r="62" ht="30" customHeight="1">
      <c r="A62" s="4" t="inlineStr">
        <is>
          <t>SFP модули</t>
        </is>
      </c>
      <c r="B62" s="4" t="inlineStr">
        <is>
          <t>Модуль SFP CWDM оптический, дальность до 60км (17dB), 1470нм</t>
        </is>
      </c>
      <c r="C62" s="5" t="inlineStr"/>
      <c r="D62" s="5" t="n">
        <v>1318138</v>
      </c>
      <c r="E62" s="5" t="n">
        <v>1176909</v>
      </c>
      <c r="F62" s="5" t="inlineStr"/>
      <c r="G62" s="5" t="inlineStr">
        <is>
          <t>SNR</t>
        </is>
      </c>
      <c r="H62" s="5">
        <f>HYPERLINK("https://itrix.uz/product/786", "🔗 Купить продукт")</f>
        <v/>
      </c>
      <c r="I62" t="inlineStr">
        <is>
          <t>43-786-692</t>
        </is>
      </c>
    </row>
    <row r="63" ht="30" customHeight="1">
      <c r="A63" s="4" t="inlineStr">
        <is>
          <t xml:space="preserve">Коробки распределительные </t>
        </is>
      </c>
      <c r="B63" s="4" t="inlineStr">
        <is>
          <t>Розетка оптическая SNR-FTB-02S</t>
        </is>
      </c>
      <c r="C63" s="5" t="inlineStr"/>
      <c r="D63" s="5" t="n">
        <v>8534</v>
      </c>
      <c r="E63" s="5" t="n">
        <v>7620</v>
      </c>
      <c r="F63" s="5" t="inlineStr"/>
      <c r="G63" s="5" t="inlineStr">
        <is>
          <t>SNR</t>
        </is>
      </c>
      <c r="H63" s="5">
        <f>HYPERLINK("https://itrix.uz/product/769", "🔗 Купить продукт")</f>
        <v/>
      </c>
      <c r="I63" t="inlineStr">
        <is>
          <t>43-769-678</t>
        </is>
      </c>
    </row>
    <row r="64" ht="30" customHeight="1">
      <c r="A64" s="4" t="inlineStr">
        <is>
          <t>SFP модули</t>
        </is>
      </c>
      <c r="B64" s="4" t="inlineStr">
        <is>
          <t>Модуль SFP WDM, дальность до 80км (24dB), 1550/1490нм</t>
        </is>
      </c>
      <c r="C64" s="5" t="inlineStr"/>
      <c r="D64" s="5" t="n">
        <v>1259108</v>
      </c>
      <c r="E64" s="5" t="n">
        <v>1124204</v>
      </c>
      <c r="F64" s="5" t="inlineStr"/>
      <c r="G64" s="5" t="inlineStr">
        <is>
          <t>SNR</t>
        </is>
      </c>
      <c r="H64" s="5">
        <f>HYPERLINK("https://itrix.uz/product/777", "🔗 Купить продукт")</f>
        <v/>
      </c>
      <c r="I64" t="inlineStr">
        <is>
          <t>43-777-684</t>
        </is>
      </c>
    </row>
    <row r="65" ht="30" customHeight="1">
      <c r="A65" s="4" t="inlineStr">
        <is>
          <t>SFP модули</t>
        </is>
      </c>
      <c r="B65" s="4" t="inlineStr">
        <is>
          <t>Модуль SFP WDM, дальность до 80км (24dB), 1490/1550нм</t>
        </is>
      </c>
      <c r="C65" s="5" t="inlineStr"/>
      <c r="D65" s="5" t="n">
        <v>1354125</v>
      </c>
      <c r="E65" s="5" t="n">
        <v>1209040</v>
      </c>
      <c r="F65" s="5" t="inlineStr"/>
      <c r="G65" s="5" t="inlineStr">
        <is>
          <t>SNR</t>
        </is>
      </c>
      <c r="H65" s="5">
        <f>HYPERLINK("https://itrix.uz/product/778", "🔗 Купить продукт")</f>
        <v/>
      </c>
      <c r="I65" t="inlineStr">
        <is>
          <t>43-778-685</t>
        </is>
      </c>
    </row>
    <row r="66" ht="30" customHeight="1">
      <c r="A66" s="4" t="inlineStr">
        <is>
          <t>SFP модули</t>
        </is>
      </c>
      <c r="B66" s="4" t="inlineStr">
        <is>
          <t>Модуль SFP CWDM оптический, дальность до 60км (17dB), 1530нм</t>
        </is>
      </c>
      <c r="C66" s="5" t="inlineStr"/>
      <c r="D66" s="5" t="n">
        <v>1318138</v>
      </c>
      <c r="E66" s="5" t="n">
        <v>1176909</v>
      </c>
      <c r="F66" s="5" t="inlineStr"/>
      <c r="G66" s="5" t="inlineStr">
        <is>
          <t>SNR</t>
        </is>
      </c>
      <c r="H66" s="5">
        <f>HYPERLINK("https://itrix.uz/product/783", "🔗 Купить продукт")</f>
        <v/>
      </c>
      <c r="I66" t="inlineStr">
        <is>
          <t>43-783-690</t>
        </is>
      </c>
    </row>
    <row r="67" ht="30" customHeight="1">
      <c r="A67" s="4" t="inlineStr">
        <is>
          <t>SFP модули</t>
        </is>
      </c>
      <c r="B67" s="4" t="inlineStr">
        <is>
          <t>Модуль SFP WDM, дальность до 20км LC (14dB), 1310нм</t>
        </is>
      </c>
      <c r="C67" s="5" t="inlineStr"/>
      <c r="D67" s="5" t="n">
        <v>313497</v>
      </c>
      <c r="E67" s="5" t="n">
        <v>279908</v>
      </c>
      <c r="F67" s="5" t="inlineStr"/>
      <c r="G67" s="5" t="inlineStr">
        <is>
          <t>SNR</t>
        </is>
      </c>
      <c r="H67" s="5">
        <f>HYPERLINK("https://itrix.uz/product/792", "🔗 Купить продукт")</f>
        <v/>
      </c>
      <c r="I67" t="inlineStr">
        <is>
          <t>43-792-695</t>
        </is>
      </c>
    </row>
    <row r="68" ht="30" customHeight="1">
      <c r="A68" s="4" t="inlineStr">
        <is>
          <t>SFP модули</t>
        </is>
      </c>
      <c r="B68" s="4" t="inlineStr">
        <is>
          <t>Модуль SFP оптический, дальность до 40км (16dB), 1550нм</t>
        </is>
      </c>
      <c r="C68" s="5" t="inlineStr"/>
      <c r="D68" s="5" t="n">
        <v>1007344</v>
      </c>
      <c r="E68" s="5" t="n">
        <v>899414</v>
      </c>
      <c r="F68" s="5" t="inlineStr"/>
      <c r="G68" s="5" t="inlineStr">
        <is>
          <t>SNR</t>
        </is>
      </c>
      <c r="H68" s="5">
        <f>HYPERLINK("https://itrix.uz/product/793", "🔗 Купить продукт")</f>
        <v/>
      </c>
      <c r="I68" t="inlineStr">
        <is>
          <t>43-793-696</t>
        </is>
      </c>
    </row>
    <row r="69" ht="30" customHeight="1">
      <c r="A69" s="4" t="inlineStr">
        <is>
          <t>SFP модули</t>
        </is>
      </c>
      <c r="B69" s="4" t="inlineStr">
        <is>
          <t>Модуль SFP оптический, дальность до 550м (7.5dB), 850нм</t>
        </is>
      </c>
      <c r="C69" s="5" t="inlineStr"/>
      <c r="D69" s="5" t="n">
        <v>381914</v>
      </c>
      <c r="E69" s="5" t="n">
        <v>340995</v>
      </c>
      <c r="F69" s="5" t="inlineStr"/>
      <c r="G69" s="5" t="inlineStr">
        <is>
          <t>SNR</t>
        </is>
      </c>
      <c r="H69" s="5">
        <f>HYPERLINK("https://itrix.uz/product/794", "🔗 Купить продукт")</f>
        <v/>
      </c>
      <c r="I69" t="inlineStr">
        <is>
          <t>43-794-697</t>
        </is>
      </c>
    </row>
    <row r="70" ht="30" customHeight="1">
      <c r="A70" s="4" t="inlineStr">
        <is>
          <t>SFP модули</t>
        </is>
      </c>
      <c r="B70" s="4" t="inlineStr">
        <is>
          <t>Модуль SFP с интерфейсом RJ45, до 100м</t>
        </is>
      </c>
      <c r="C70" s="5" t="inlineStr"/>
      <c r="D70" s="5" t="n">
        <v>370820</v>
      </c>
      <c r="E70" s="5" t="n">
        <v>331089</v>
      </c>
      <c r="F70" s="5" t="inlineStr"/>
      <c r="G70" s="5" t="inlineStr">
        <is>
          <t>SNR</t>
        </is>
      </c>
      <c r="H70" s="5">
        <f>HYPERLINK("https://itrix.uz/product/795", "🔗 Купить продукт")</f>
        <v/>
      </c>
      <c r="I70" t="inlineStr">
        <is>
          <t>43-795-698</t>
        </is>
      </c>
    </row>
    <row r="71" ht="30" customHeight="1">
      <c r="A71" s="4" t="inlineStr">
        <is>
          <t>SFP модули</t>
        </is>
      </c>
      <c r="B71" s="4" t="inlineStr">
        <is>
          <t>Модуль SFP WDM, дальность до 20км (14dB), 1550нм</t>
        </is>
      </c>
      <c r="C71" s="5" t="inlineStr"/>
      <c r="D71" s="5" t="n">
        <v>344790</v>
      </c>
      <c r="E71" s="5" t="n">
        <v>307848</v>
      </c>
      <c r="F71" s="5" t="inlineStr"/>
      <c r="G71" s="5" t="inlineStr">
        <is>
          <t>SNR</t>
        </is>
      </c>
      <c r="H71" s="5">
        <f>HYPERLINK("https://itrix.uz/product/798", "🔗 Купить продукт")</f>
        <v/>
      </c>
      <c r="I71" t="inlineStr">
        <is>
          <t>43-798-701</t>
        </is>
      </c>
    </row>
    <row r="72" ht="30" customHeight="1">
      <c r="A72" s="4" t="inlineStr">
        <is>
          <t>SFP модули</t>
        </is>
      </c>
      <c r="B72" s="4" t="inlineStr">
        <is>
          <t>Модуль SFP WDM, дальность до 40км (21dB), 1550нм</t>
        </is>
      </c>
      <c r="C72" s="5" t="inlineStr"/>
      <c r="D72" s="5" t="n">
        <v>956991</v>
      </c>
      <c r="E72" s="5" t="n">
        <v>854456</v>
      </c>
      <c r="F72" s="5" t="inlineStr"/>
      <c r="G72" s="5" t="inlineStr">
        <is>
          <t>SNR</t>
        </is>
      </c>
      <c r="H72" s="5">
        <f>HYPERLINK("https://itrix.uz/product/796", "🔗 Купить продукт")</f>
        <v/>
      </c>
      <c r="I72" t="inlineStr">
        <is>
          <t>43-796-699</t>
        </is>
      </c>
    </row>
    <row r="73" ht="30" customHeight="1">
      <c r="A73" s="4" t="inlineStr">
        <is>
          <t>SFP модули</t>
        </is>
      </c>
      <c r="B73" s="4" t="inlineStr">
        <is>
          <t>Модуль SFP WDM, дальность до 40км (21dB), 1310нм</t>
        </is>
      </c>
      <c r="C73" s="5" t="inlineStr"/>
      <c r="D73" s="5" t="n">
        <v>654588</v>
      </c>
      <c r="E73" s="5" t="n">
        <v>584454</v>
      </c>
      <c r="F73" s="5" t="inlineStr"/>
      <c r="G73" s="5" t="inlineStr">
        <is>
          <t>SNR</t>
        </is>
      </c>
      <c r="H73" s="5">
        <f>HYPERLINK("https://itrix.uz/product/797", "🔗 Купить продукт")</f>
        <v/>
      </c>
      <c r="I73" t="inlineStr">
        <is>
          <t>43-797-700</t>
        </is>
      </c>
    </row>
    <row r="74" ht="30" customHeight="1">
      <c r="A74" s="4" t="inlineStr">
        <is>
          <t>SFP модули</t>
        </is>
      </c>
      <c r="B74" s="4" t="inlineStr">
        <is>
          <t>Модуль SFP оптический, дальность до 20км (14dB), 1310нм</t>
        </is>
      </c>
      <c r="C74" s="5" t="inlineStr"/>
      <c r="D74" s="5" t="n">
        <v>322885</v>
      </c>
      <c r="E74" s="5" t="n">
        <v>288290</v>
      </c>
      <c r="F74" s="5" t="inlineStr"/>
      <c r="G74" s="5" t="inlineStr">
        <is>
          <t>SNR</t>
        </is>
      </c>
      <c r="H74" s="5">
        <f>HYPERLINK("https://itrix.uz/product/799", "🔗 Купить продукт")</f>
        <v/>
      </c>
      <c r="I74" t="inlineStr">
        <is>
          <t>43-799-702</t>
        </is>
      </c>
    </row>
    <row r="75">
      <c r="A75" s="4" t="inlineStr">
        <is>
          <t>Абонентские терминалы (ONU / ONT)</t>
        </is>
      </c>
      <c r="B75" s="4" t="inlineStr">
        <is>
          <t>Абонентский терминал ONU BDCOM XPON, 1 порт XPON (SC/UPC), 1 GE, пластиковый корпус, DC12V/0.5A, внешний адаптер</t>
        </is>
      </c>
      <c r="C75" s="5" t="inlineStr"/>
      <c r="D75" s="5" t="n">
        <v>147645</v>
      </c>
      <c r="E75" s="5" t="n">
        <v>131826</v>
      </c>
      <c r="F75" s="5" t="inlineStr"/>
      <c r="G75" s="5" t="inlineStr"/>
      <c r="H75" s="5">
        <f>HYPERLINK("https://itrix.uz/product/801", "🔗 Купить продукт")</f>
        <v/>
      </c>
      <c r="I75" t="inlineStr">
        <is>
          <t>43-801-704</t>
        </is>
      </c>
    </row>
    <row r="76" ht="30" customHeight="1">
      <c r="A76" s="4" t="inlineStr">
        <is>
          <t>OLT оборудование</t>
        </is>
      </c>
      <c r="B76" s="4" t="inlineStr">
        <is>
          <t>OLT BDCOM 3310 с 4 портами GEPON (SFP), 2 комбо-портами, 2хSFP, 2хRJ-45, 2 БП AC, FEC</t>
        </is>
      </c>
      <c r="C76" s="5" t="inlineStr"/>
      <c r="D76" s="5" t="n">
        <v>7034195</v>
      </c>
      <c r="E76" s="5" t="n">
        <v>6280531</v>
      </c>
      <c r="F76" s="5" t="inlineStr"/>
      <c r="G76" s="5" t="inlineStr"/>
      <c r="H76" s="5">
        <f>HYPERLINK("https://itrix.uz/product/804", "🔗 Купить продукт")</f>
        <v/>
      </c>
      <c r="I76" t="inlineStr">
        <is>
          <t>43-804-707</t>
        </is>
      </c>
    </row>
    <row r="77" ht="30" customHeight="1">
      <c r="A77" s="4" t="inlineStr">
        <is>
          <t>OLT оборудование</t>
        </is>
      </c>
      <c r="B77" s="4" t="inlineStr">
        <is>
          <t>OLT BDCOM GP3600-08B с 8 портами GPON (SFP), 4 комбо-портами, 4хSFP, 4 SFP+, 2 БП АC</t>
        </is>
      </c>
      <c r="C77" s="5" t="inlineStr"/>
      <c r="D77" s="5" t="n">
        <v>23939134</v>
      </c>
      <c r="E77" s="5" t="n">
        <v>21374227</v>
      </c>
      <c r="F77" s="5" t="inlineStr"/>
      <c r="G77" s="5" t="inlineStr"/>
      <c r="H77" s="5">
        <f>HYPERLINK("https://itrix.uz/product/805", "🔗 Купить продукт")</f>
        <v/>
      </c>
      <c r="I77" t="inlineStr">
        <is>
          <t>43-805-708</t>
        </is>
      </c>
    </row>
    <row r="78" ht="30" customHeight="1">
      <c r="A78" s="4" t="inlineStr">
        <is>
          <t>OLT оборудование</t>
        </is>
      </c>
      <c r="B78" s="4" t="inlineStr">
        <is>
          <t>OLT BDCOM GP3600-16B с 16 портами GPON (SFP), 4 комбо-портами, 4хSFP, 4 SFP+, 2 БП АC</t>
        </is>
      </c>
      <c r="C78" s="5" t="inlineStr"/>
      <c r="D78" s="5" t="n">
        <v>35362144</v>
      </c>
      <c r="E78" s="5" t="n">
        <v>31573343</v>
      </c>
      <c r="F78" s="5" t="inlineStr"/>
      <c r="G78" s="5" t="inlineStr"/>
      <c r="H78" s="5">
        <f>HYPERLINK("https://itrix.uz/product/806", "🔗 Купить продукт")</f>
        <v/>
      </c>
      <c r="I78" t="inlineStr">
        <is>
          <t>43-806-709</t>
        </is>
      </c>
    </row>
    <row r="79">
      <c r="A79" s="4" t="inlineStr">
        <is>
          <t>OLT оборудование</t>
        </is>
      </c>
      <c r="B79" s="4" t="inlineStr">
        <is>
          <t>Станционный терминал OLT с 8 портами GPON (SFP) и 4 порта 10G/SFP+, 4 портами 10/100/1000-Base-T/SFP</t>
        </is>
      </c>
      <c r="C79" s="5" t="inlineStr"/>
      <c r="D79" s="5" t="n">
        <v>43374523</v>
      </c>
      <c r="E79" s="5" t="n">
        <v>38727253</v>
      </c>
      <c r="F79" s="5" t="inlineStr"/>
      <c r="G79" s="5" t="inlineStr"/>
      <c r="H79" s="5">
        <f>HYPERLINK("https://itrix.uz/product/807", "🔗 Купить продукт")</f>
        <v/>
      </c>
      <c r="I79" t="inlineStr">
        <is>
          <t>43-807-710</t>
        </is>
      </c>
    </row>
    <row r="80" ht="30" customHeight="1">
      <c r="A80" s="4" t="inlineStr">
        <is>
          <t>SFP+ модули</t>
        </is>
      </c>
      <c r="B80" s="4" t="inlineStr">
        <is>
          <t xml:space="preserve"> Модуль SFP+ WDM, дальность до 3км (5dB), 1330нм</t>
        </is>
      </c>
      <c r="C80" s="5" t="inlineStr"/>
      <c r="D80" s="5" t="n">
        <v>856285</v>
      </c>
      <c r="E80" s="5" t="n">
        <v>764540</v>
      </c>
      <c r="F80" s="5" t="inlineStr"/>
      <c r="G80" s="5" t="inlineStr">
        <is>
          <t>SNR</t>
        </is>
      </c>
      <c r="H80" s="5">
        <f>HYPERLINK("https://itrix.uz/product/736", "🔗 Купить продукт")</f>
        <v/>
      </c>
      <c r="I80" t="inlineStr">
        <is>
          <t>43-736-647</t>
        </is>
      </c>
    </row>
    <row r="81" ht="30" customHeight="1">
      <c r="A81" s="4" t="inlineStr">
        <is>
          <t>SFP+ модули</t>
        </is>
      </c>
      <c r="B81" s="4" t="inlineStr">
        <is>
          <t>Модуль SFP+ WDM, дальность до 20км (12dB), 1270нм</t>
        </is>
      </c>
      <c r="C81" s="5" t="inlineStr"/>
      <c r="D81" s="5" t="n">
        <v>988284</v>
      </c>
      <c r="E81" s="5" t="n">
        <v>882396</v>
      </c>
      <c r="F81" s="5" t="inlineStr"/>
      <c r="G81" s="5" t="inlineStr">
        <is>
          <t>SNR</t>
        </is>
      </c>
      <c r="H81" s="5">
        <f>HYPERLINK("https://itrix.uz/product/772", "🔗 Купить продукт")</f>
        <v/>
      </c>
      <c r="I81" t="inlineStr">
        <is>
          <t>43-772-680</t>
        </is>
      </c>
    </row>
    <row r="82" ht="30" customHeight="1">
      <c r="A82" s="4" t="inlineStr">
        <is>
          <t>SFP+ модули</t>
        </is>
      </c>
      <c r="B82" s="4" t="inlineStr">
        <is>
          <t>Модуль SFP+ оптический, дальность до 300м (5dB), 850нм</t>
        </is>
      </c>
      <c r="C82" s="5" t="inlineStr"/>
      <c r="D82" s="5" t="n">
        <v>405811</v>
      </c>
      <c r="E82" s="5" t="n">
        <v>362331</v>
      </c>
      <c r="F82" s="5" t="inlineStr"/>
      <c r="G82" s="5" t="inlineStr">
        <is>
          <t>SNR</t>
        </is>
      </c>
      <c r="H82" s="5">
        <f>HYPERLINK("https://itrix.uz/product/776", "🔗 Купить продукт")</f>
        <v/>
      </c>
      <c r="I82" t="inlineStr">
        <is>
          <t>43-776-624</t>
        </is>
      </c>
    </row>
    <row r="83" ht="30" customHeight="1">
      <c r="A83" s="4" t="inlineStr">
        <is>
          <t>SFP+ модули</t>
        </is>
      </c>
      <c r="B83" s="4" t="inlineStr">
        <is>
          <t xml:space="preserve"> Модуль SFP+ WDM, дальность до 3км (5dB), 1270нм</t>
        </is>
      </c>
      <c r="C83" s="5" t="inlineStr"/>
      <c r="D83" s="5" t="n">
        <v>856285</v>
      </c>
      <c r="E83" s="5" t="n">
        <v>764540</v>
      </c>
      <c r="F83" s="5" t="inlineStr"/>
      <c r="G83" s="5" t="inlineStr">
        <is>
          <t>SNR</t>
        </is>
      </c>
      <c r="H83" s="5">
        <f>HYPERLINK("https://itrix.uz/product/735", "🔗 Купить продукт")</f>
        <v/>
      </c>
      <c r="I83" t="inlineStr">
        <is>
          <t>43-735-646</t>
        </is>
      </c>
    </row>
    <row r="84" ht="30" customHeight="1">
      <c r="A84" s="4" t="inlineStr">
        <is>
          <t>SFP+ модули</t>
        </is>
      </c>
      <c r="B84" s="4" t="inlineStr">
        <is>
          <t>Модуль SFP+ DWDM оптический, дальность до 80км (24dB), 1547.72нм</t>
        </is>
      </c>
      <c r="C84" s="5" t="inlineStr"/>
      <c r="D84" s="5" t="n">
        <v>8666683</v>
      </c>
      <c r="E84" s="5" t="n">
        <v>7738110</v>
      </c>
      <c r="F84" s="5" t="inlineStr"/>
      <c r="G84" s="5" t="inlineStr">
        <is>
          <t>SNR</t>
        </is>
      </c>
      <c r="H84" s="5">
        <f>HYPERLINK("https://itrix.uz/product/753", "🔗 Купить продукт")</f>
        <v/>
      </c>
      <c r="I84" t="inlineStr">
        <is>
          <t>43-753-663</t>
        </is>
      </c>
    </row>
    <row r="85" ht="30" customHeight="1">
      <c r="A85" s="4" t="inlineStr">
        <is>
          <t>SFP+ модули</t>
        </is>
      </c>
      <c r="B85" s="4" t="inlineStr">
        <is>
          <t>Модуль SFP+ DWDM оптический, дальность до 80км (24dB), 1528.77нм</t>
        </is>
      </c>
      <c r="C85" s="5" t="inlineStr"/>
      <c r="D85" s="5" t="n">
        <v>8666683</v>
      </c>
      <c r="E85" s="5" t="n">
        <v>7738110</v>
      </c>
      <c r="F85" s="5" t="inlineStr"/>
      <c r="G85" s="5" t="inlineStr">
        <is>
          <t>SNR</t>
        </is>
      </c>
      <c r="H85" s="5">
        <f>HYPERLINK("https://itrix.uz/product/754", "🔗 Купить продукт")</f>
        <v/>
      </c>
      <c r="I85" t="inlineStr">
        <is>
          <t>43-754-664</t>
        </is>
      </c>
    </row>
    <row r="86" ht="30" customHeight="1">
      <c r="A86" s="4" t="inlineStr">
        <is>
          <t>SFP+ модули</t>
        </is>
      </c>
      <c r="B86" s="4" t="inlineStr">
        <is>
          <t>Модуль SFP+ DWDM оптический, дальность до 80км (24dB), 1531.12нм</t>
        </is>
      </c>
      <c r="C86" s="5" t="inlineStr"/>
      <c r="D86" s="5" t="n">
        <v>8666683</v>
      </c>
      <c r="E86" s="5" t="n">
        <v>7738110</v>
      </c>
      <c r="F86" s="5" t="inlineStr"/>
      <c r="G86" s="5" t="inlineStr">
        <is>
          <t>SNR</t>
        </is>
      </c>
      <c r="H86" s="5">
        <f>HYPERLINK("https://itrix.uz/product/757", "🔗 Купить продукт")</f>
        <v/>
      </c>
      <c r="I86" t="inlineStr">
        <is>
          <t>43-757-666</t>
        </is>
      </c>
    </row>
    <row r="87" ht="30" customHeight="1">
      <c r="A87" s="4" t="inlineStr">
        <is>
          <t>SFP+ модули</t>
        </is>
      </c>
      <c r="B87" s="4" t="inlineStr">
        <is>
          <t>Модуль SFP+ DWDM оптический, дальность до 80км (24dB), 1550.12нм</t>
        </is>
      </c>
      <c r="C87" s="5" t="inlineStr"/>
      <c r="D87" s="5" t="n">
        <v>8666683</v>
      </c>
      <c r="E87" s="5" t="n">
        <v>7738110</v>
      </c>
      <c r="F87" s="5" t="inlineStr"/>
      <c r="G87" s="5" t="inlineStr">
        <is>
          <t>SNR</t>
        </is>
      </c>
      <c r="H87" s="5">
        <f>HYPERLINK("https://itrix.uz/product/758", "🔗 Купить продукт")</f>
        <v/>
      </c>
      <c r="I87" t="inlineStr">
        <is>
          <t>43-758-667</t>
        </is>
      </c>
    </row>
    <row r="88" ht="30" customHeight="1">
      <c r="A88" s="4" t="inlineStr">
        <is>
          <t>SFP модули</t>
        </is>
      </c>
      <c r="B88" s="4" t="inlineStr">
        <is>
          <t>SFP‑модуль Grandstream F-MM850-300M-10G</t>
        </is>
      </c>
      <c r="C88" s="5" t="inlineStr"/>
      <c r="D88" s="5" t="n">
        <v>322600</v>
      </c>
      <c r="E88" s="5" t="n">
        <v>288036</v>
      </c>
      <c r="F88" s="5" t="inlineStr"/>
      <c r="G88" s="5" t="inlineStr">
        <is>
          <t>Grandstream</t>
        </is>
      </c>
      <c r="H88" s="5">
        <f>HYPERLINK("https://itrix.uz/product/912", "🔗 Купить продукт")</f>
        <v/>
      </c>
      <c r="I88" t="inlineStr">
        <is>
          <t>43-912-802</t>
        </is>
      </c>
    </row>
    <row r="89" ht="30" customHeight="1">
      <c r="A89" s="4" t="inlineStr">
        <is>
          <t>SFP+ модули</t>
        </is>
      </c>
      <c r="B89" s="4" t="inlineStr">
        <is>
          <t>Модуль SFP+ CWDM оптический, дальность до 60км (23dB), 1290нм</t>
        </is>
      </c>
      <c r="C89" s="5" t="inlineStr"/>
      <c r="D89" s="5" t="n">
        <v>7606995</v>
      </c>
      <c r="E89" s="5" t="n">
        <v>6791960</v>
      </c>
      <c r="F89" s="5" t="inlineStr"/>
      <c r="G89" s="5" t="inlineStr">
        <is>
          <t>SNR</t>
        </is>
      </c>
      <c r="H89" s="5">
        <f>HYPERLINK("https://itrix.uz/product/759", "🔗 Купить продукт")</f>
        <v/>
      </c>
      <c r="I89" t="inlineStr">
        <is>
          <t>43-759-668</t>
        </is>
      </c>
    </row>
    <row r="90" ht="30" customHeight="1">
      <c r="A90" s="4" t="inlineStr">
        <is>
          <t>SFP+ модули</t>
        </is>
      </c>
      <c r="B90" s="4" t="inlineStr">
        <is>
          <t>Модуль SFP+ CWDM оптический, дальность до 60км (23dB), 1270нм</t>
        </is>
      </c>
      <c r="C90" s="5" t="inlineStr"/>
      <c r="D90" s="5" t="n">
        <v>7606995</v>
      </c>
      <c r="E90" s="5" t="n">
        <v>6791960</v>
      </c>
      <c r="F90" s="5" t="inlineStr"/>
      <c r="G90" s="5" t="inlineStr">
        <is>
          <t>SNR</t>
        </is>
      </c>
      <c r="H90" s="5">
        <f>HYPERLINK("https://itrix.uz/product/760", "🔗 Купить продукт")</f>
        <v/>
      </c>
      <c r="I90" t="inlineStr">
        <is>
          <t>43-760-669</t>
        </is>
      </c>
    </row>
    <row r="91" ht="30" customHeight="1">
      <c r="A91" s="4" t="inlineStr">
        <is>
          <t>SFP+ модули</t>
        </is>
      </c>
      <c r="B91" s="4" t="inlineStr">
        <is>
          <t>Модуль SFP+ CWDM оптический, дальность до 10км (10dB), 1330нм</t>
        </is>
      </c>
      <c r="C91" s="5" t="inlineStr"/>
      <c r="D91" s="5" t="n">
        <v>2897856</v>
      </c>
      <c r="E91" s="5" t="n">
        <v>2587371</v>
      </c>
      <c r="F91" s="5" t="inlineStr"/>
      <c r="G91" s="5" t="inlineStr">
        <is>
          <t>SNR</t>
        </is>
      </c>
      <c r="H91" s="5">
        <f>HYPERLINK("https://itrix.uz/product/761", "🔗 Купить продукт")</f>
        <v/>
      </c>
      <c r="I91" t="inlineStr">
        <is>
          <t>43-761-670</t>
        </is>
      </c>
    </row>
    <row r="92" ht="30" customHeight="1">
      <c r="A92" s="4" t="inlineStr">
        <is>
          <t>SFP модули</t>
        </is>
      </c>
      <c r="B92" s="4" t="inlineStr">
        <is>
          <t>Модуль SFP‑Grandstream F-SM1310-20KM-1.25G</t>
        </is>
      </c>
      <c r="C92" s="5" t="inlineStr"/>
      <c r="D92" s="5" t="n">
        <v>233843</v>
      </c>
      <c r="E92" s="5" t="n">
        <v>208788</v>
      </c>
      <c r="F92" s="5" t="inlineStr"/>
      <c r="G92" s="5" t="inlineStr">
        <is>
          <t>Grandstream</t>
        </is>
      </c>
      <c r="H92" s="5">
        <f>HYPERLINK("https://itrix.uz/product/913", "🔗 Купить продукт")</f>
        <v/>
      </c>
      <c r="I92" t="inlineStr">
        <is>
          <t>43-913-803</t>
        </is>
      </c>
    </row>
    <row r="93" ht="30" customHeight="1">
      <c r="A93" s="4" t="inlineStr">
        <is>
          <t>SFP+ модули</t>
        </is>
      </c>
      <c r="B93" s="4" t="inlineStr">
        <is>
          <t>Модуль SFP+ DWDM оптический, дальность до 80км (24dB), 1530.33нм</t>
        </is>
      </c>
      <c r="C93" s="5" t="inlineStr"/>
      <c r="D93" s="5" t="n">
        <v>8666683</v>
      </c>
      <c r="E93" s="5" t="n">
        <v>7738110</v>
      </c>
      <c r="F93" s="5" t="inlineStr"/>
      <c r="G93" s="5" t="inlineStr">
        <is>
          <t>SNR</t>
        </is>
      </c>
      <c r="H93" s="5">
        <f>HYPERLINK("https://itrix.uz/product/763", "🔗 Купить продукт")</f>
        <v/>
      </c>
      <c r="I93" t="inlineStr">
        <is>
          <t>43-763-672</t>
        </is>
      </c>
    </row>
    <row r="94" ht="30" customHeight="1">
      <c r="A94" s="4" t="inlineStr">
        <is>
          <t>SFP+ модули</t>
        </is>
      </c>
      <c r="B94" s="4" t="inlineStr">
        <is>
          <t>Модуль SFP+ DWDM оптический, дальность до 80км (24dB), 1548.51нм</t>
        </is>
      </c>
      <c r="C94" s="5" t="inlineStr"/>
      <c r="D94" s="5" t="n">
        <v>8666683</v>
      </c>
      <c r="E94" s="5" t="n">
        <v>7738110</v>
      </c>
      <c r="F94" s="5" t="inlineStr"/>
      <c r="G94" s="5" t="inlineStr">
        <is>
          <t>SNR</t>
        </is>
      </c>
      <c r="H94" s="5">
        <f>HYPERLINK("https://itrix.uz/product/764", "🔗 Купить продукт")</f>
        <v/>
      </c>
      <c r="I94" t="inlineStr">
        <is>
          <t>43-764-673</t>
        </is>
      </c>
    </row>
    <row r="95" ht="30" customHeight="1">
      <c r="A95" s="4" t="inlineStr">
        <is>
          <t>SFP+ модули</t>
        </is>
      </c>
      <c r="B95" s="4" t="inlineStr">
        <is>
          <t>Модуль SFP+ WDM, дальность до 40км (16dB), 1270нм</t>
        </is>
      </c>
      <c r="C95" s="5" t="inlineStr"/>
      <c r="D95" s="5" t="n">
        <v>1145032</v>
      </c>
      <c r="E95" s="5" t="n">
        <v>1022350</v>
      </c>
      <c r="F95" s="5" t="inlineStr"/>
      <c r="G95" s="5" t="inlineStr">
        <is>
          <t>SNR</t>
        </is>
      </c>
      <c r="H95" s="5">
        <f>HYPERLINK("https://itrix.uz/product/766", "🔗 Купить продукт")</f>
        <v/>
      </c>
      <c r="I95" t="inlineStr">
        <is>
          <t>43-766-675</t>
        </is>
      </c>
    </row>
    <row r="96" ht="30" customHeight="1">
      <c r="A96" s="4" t="inlineStr">
        <is>
          <t>SFP+ модули</t>
        </is>
      </c>
      <c r="B96" s="4" t="inlineStr">
        <is>
          <t>Модуль SFP+ оптический, дальность до 40км (15dB), 1550нм</t>
        </is>
      </c>
      <c r="C96" s="5" t="inlineStr"/>
      <c r="D96" s="5" t="n">
        <v>4333057</v>
      </c>
      <c r="E96" s="5" t="n">
        <v>3868801</v>
      </c>
      <c r="F96" s="5" t="inlineStr"/>
      <c r="G96" s="5" t="inlineStr">
        <is>
          <t>SNR</t>
        </is>
      </c>
      <c r="H96" s="5">
        <f>HYPERLINK("https://itrix.uz/product/774", "🔗 Купить продукт")</f>
        <v/>
      </c>
      <c r="I96" t="inlineStr">
        <is>
          <t>43-774-682</t>
        </is>
      </c>
    </row>
    <row r="97" ht="30" customHeight="1">
      <c r="A97" s="4" t="inlineStr">
        <is>
          <t>SFP+ модули</t>
        </is>
      </c>
      <c r="B97" s="4" t="inlineStr">
        <is>
          <t>SNR-SFP-W53-3-LC — SFP WDM модуль, 1550нм, LC, до 3 км (6 dB)</t>
        </is>
      </c>
      <c r="C97" s="5" t="inlineStr"/>
      <c r="D97" s="5" t="n">
        <v>327294</v>
      </c>
      <c r="E97" s="5" t="n">
        <v>292227</v>
      </c>
      <c r="F97" s="5" t="inlineStr"/>
      <c r="G97" s="5" t="inlineStr">
        <is>
          <t>SNR</t>
        </is>
      </c>
      <c r="H97" s="5">
        <f>HYPERLINK("https://itrix.uz/product/882", "🔗 Купить продукт")</f>
        <v/>
      </c>
      <c r="I97" t="inlineStr">
        <is>
          <t>43-882-770</t>
        </is>
      </c>
    </row>
    <row r="98" ht="30" customHeight="1">
      <c r="A98" s="4" t="inlineStr">
        <is>
          <t>SFP модули</t>
        </is>
      </c>
      <c r="B98" s="4" t="inlineStr">
        <is>
          <t>SFP Модуль Ubiquiti UACC-OM-SFP28-SR (25G SR трансивер для оптоволокна)</t>
        </is>
      </c>
      <c r="C98" s="5" t="inlineStr"/>
      <c r="D98" s="5" t="n">
        <v>1031667</v>
      </c>
      <c r="E98" s="5" t="n">
        <v>921131</v>
      </c>
      <c r="F98" s="5" t="n">
        <v>850265</v>
      </c>
      <c r="G98" s="5" t="inlineStr">
        <is>
          <t>UniFi UBIQUITI</t>
        </is>
      </c>
      <c r="H98" s="5">
        <f>HYPERLINK("https://itrix.uz/product/1385", "🔗 Купить продукт")</f>
        <v/>
      </c>
      <c r="I98" t="inlineStr">
        <is>
          <t>43-1385-1085</t>
        </is>
      </c>
    </row>
    <row r="99" ht="30" customHeight="1">
      <c r="A99" s="4" t="inlineStr">
        <is>
          <t>SFP модули</t>
        </is>
      </c>
      <c r="B99" s="4" t="inlineStr">
        <is>
          <t>Трансивер Ubiquiti UACC-OM-SM-10G-S-2 SFP+ 10G одномодовый</t>
        </is>
      </c>
      <c r="C99" s="5" t="inlineStr"/>
      <c r="D99" s="5" t="n">
        <v>3227283</v>
      </c>
      <c r="E99" s="5" t="n">
        <v>2881503</v>
      </c>
      <c r="F99" s="5" t="n">
        <v>2659761</v>
      </c>
      <c r="G99" s="5" t="inlineStr">
        <is>
          <t>UniFi UBIQUITI</t>
        </is>
      </c>
      <c r="H99" s="5">
        <f>HYPERLINK("https://itrix.uz/product/1388", "🔗 Купить продукт")</f>
        <v/>
      </c>
      <c r="I99" t="inlineStr">
        <is>
          <t>43-1388-1088</t>
        </is>
      </c>
    </row>
    <row r="100" ht="30" customHeight="1">
      <c r="A100" s="4" t="inlineStr">
        <is>
          <t>SFP+ модули</t>
        </is>
      </c>
      <c r="B100" s="4" t="inlineStr">
        <is>
          <t>SFP модуль MikroTik S-85DLC03D</t>
        </is>
      </c>
      <c r="C100" s="5" t="inlineStr"/>
      <c r="D100" s="5" t="n">
        <v>978753</v>
      </c>
      <c r="E100" s="5" t="n">
        <v>873887</v>
      </c>
      <c r="F100" s="5" t="n">
        <v>806704</v>
      </c>
      <c r="G100" s="5" t="inlineStr">
        <is>
          <t>Mikrotik</t>
        </is>
      </c>
      <c r="H100" s="5">
        <f>HYPERLINK("https://itrix.uz/product/1333", "🔗 Купить продукт")</f>
        <v/>
      </c>
      <c r="I100" t="inlineStr">
        <is>
          <t>43-1333-1034</t>
        </is>
      </c>
    </row>
    <row r="101" ht="30" customHeight="1">
      <c r="A101" s="4" t="inlineStr">
        <is>
          <t>SFP модули</t>
        </is>
      </c>
      <c r="B101" s="4" t="inlineStr">
        <is>
          <t>SFP-модуль MikroTik S-RJ01 — высокоскоростное сетевое решение</t>
        </is>
      </c>
      <c r="C101" s="5" t="inlineStr"/>
      <c r="D101" s="5" t="n">
        <v>502534</v>
      </c>
      <c r="E101" s="5" t="n">
        <v>448691</v>
      </c>
      <c r="F101" s="5" t="n">
        <v>414274</v>
      </c>
      <c r="G101" s="5" t="inlineStr">
        <is>
          <t>Mikrotik</t>
        </is>
      </c>
      <c r="H101" s="5">
        <f>HYPERLINK("https://itrix.uz/product/1335", "🔗 Купить продукт")</f>
        <v/>
      </c>
      <c r="I101" t="inlineStr">
        <is>
          <t>43-1335-1036</t>
        </is>
      </c>
    </row>
    <row r="102" ht="30" customHeight="1">
      <c r="A102" s="4" t="inlineStr">
        <is>
          <t>SFP+ модули</t>
        </is>
      </c>
      <c r="B102" s="4" t="inlineStr">
        <is>
          <t>Модуль SFP MikroTik S+RJ10 — высокоскоростное сетевое решение</t>
        </is>
      </c>
      <c r="C102" s="5" t="inlineStr"/>
      <c r="D102" s="5" t="n">
        <v>978753</v>
      </c>
      <c r="E102" s="5" t="n">
        <v>873887</v>
      </c>
      <c r="F102" s="5" t="n">
        <v>806704</v>
      </c>
      <c r="G102" s="5" t="inlineStr">
        <is>
          <t>Mikrotik</t>
        </is>
      </c>
      <c r="H102" s="5">
        <f>HYPERLINK("https://itrix.uz/product/1336", "🔗 Купить продукт")</f>
        <v/>
      </c>
      <c r="I102" t="inlineStr">
        <is>
          <t>43-1336-1037</t>
        </is>
      </c>
    </row>
    <row r="103" ht="30" customHeight="1">
      <c r="A103" s="4" t="inlineStr">
        <is>
          <t>SFP модули</t>
        </is>
      </c>
      <c r="B103" s="4" t="inlineStr">
        <is>
          <t>SFP модуль Ubiquiti UACC-CM-RJ45-1G</t>
        </is>
      </c>
      <c r="C103" s="5" t="inlineStr"/>
      <c r="D103" s="5" t="n">
        <v>396850</v>
      </c>
      <c r="E103" s="5" t="n">
        <v>354330</v>
      </c>
      <c r="F103" s="5" t="n">
        <v>327025</v>
      </c>
      <c r="G103" s="5" t="inlineStr">
        <is>
          <t>UniFi UBIQUITI</t>
        </is>
      </c>
      <c r="H103" s="5">
        <f>HYPERLINK("https://itrix.uz/product/1378", "🔗 Купить продукт")</f>
        <v/>
      </c>
      <c r="I103" t="inlineStr">
        <is>
          <t>43-1378-1078</t>
        </is>
      </c>
    </row>
    <row r="104" ht="30" customHeight="1">
      <c r="A104" s="4" t="inlineStr">
        <is>
          <t>SFP модули</t>
        </is>
      </c>
      <c r="B104" s="4" t="inlineStr">
        <is>
          <t>SFP-модуль Grandstream F-MM850-550M-1.25G</t>
        </is>
      </c>
      <c r="C104" s="5" t="inlineStr"/>
      <c r="D104" s="5" t="n">
        <v>227584</v>
      </c>
      <c r="E104" s="5" t="n">
        <v>203200</v>
      </c>
      <c r="F104" s="5" t="inlineStr"/>
      <c r="G104" s="5" t="inlineStr">
        <is>
          <t>Grandstream</t>
        </is>
      </c>
      <c r="H104" s="5">
        <f>HYPERLINK("https://itrix.uz/product/1234", "🔗 Купить продукт")</f>
        <v/>
      </c>
      <c r="I104" t="inlineStr">
        <is>
          <t>43-1234-945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151C15"/>
    <outlinePr summaryBelow="1" summaryRight="1"/>
    <pageSetUpPr/>
  </sheetPr>
  <dimension ref="A1:I65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Точки доступа WiFi</t>
        </is>
      </c>
      <c r="B2" s="4" t="inlineStr">
        <is>
          <t>Точка доступа Ubiquiti UniFi U7 Pro U7-Pro</t>
        </is>
      </c>
      <c r="C2" s="5" t="inlineStr"/>
      <c r="D2" s="5" t="n">
        <v>3200827</v>
      </c>
      <c r="E2" s="5" t="n">
        <v>2857881</v>
      </c>
      <c r="F2" s="5" t="n">
        <v>2638044</v>
      </c>
      <c r="G2" s="5" t="inlineStr">
        <is>
          <t>UniFi UBIQUITI</t>
        </is>
      </c>
      <c r="H2" s="5">
        <f>HYPERLINK("https://itrix.uz/product/301", "🔗 Купить продукт")</f>
        <v/>
      </c>
      <c r="I2" t="inlineStr">
        <is>
          <t>7-301-303</t>
        </is>
      </c>
    </row>
    <row r="3" ht="30" customHeight="1">
      <c r="A3" s="4" t="inlineStr">
        <is>
          <t>Точки доступа WiFi</t>
        </is>
      </c>
      <c r="B3" s="4" t="inlineStr">
        <is>
          <t>Точка доступа Ubiquiti UniFi AP AC Pro</t>
        </is>
      </c>
      <c r="C3" s="5" t="inlineStr"/>
      <c r="D3" s="5" t="n">
        <v>1931050</v>
      </c>
      <c r="E3" s="5" t="n">
        <v>1724152</v>
      </c>
      <c r="F3" s="5" t="n">
        <v>1591564</v>
      </c>
      <c r="G3" s="5" t="inlineStr">
        <is>
          <t>UniFi UBIQUITI</t>
        </is>
      </c>
      <c r="H3" s="5">
        <f>HYPERLINK("https://itrix.uz/product/297", "🔗 Купить продукт")</f>
        <v/>
      </c>
      <c r="I3" t="inlineStr">
        <is>
          <t>7-297-299</t>
        </is>
      </c>
    </row>
    <row r="4" ht="30" customHeight="1">
      <c r="A4" s="4" t="inlineStr">
        <is>
          <t>Точки доступа WiFi</t>
        </is>
      </c>
      <c r="B4" s="4" t="inlineStr">
        <is>
          <t>Точка доступа Ubiquiti UniFi AP AC Mesh UAP-AC-M</t>
        </is>
      </c>
      <c r="C4" s="5" t="inlineStr"/>
      <c r="D4" s="5" t="n">
        <v>1820245</v>
      </c>
      <c r="E4" s="5" t="n">
        <v>1625219</v>
      </c>
      <c r="F4" s="5" t="n">
        <v>1518920</v>
      </c>
      <c r="G4" s="5" t="inlineStr">
        <is>
          <t>UniFi UBIQUITI</t>
        </is>
      </c>
      <c r="H4" s="5">
        <f>HYPERLINK("https://itrix.uz/product/299", "🔗 Купить продукт")</f>
        <v/>
      </c>
      <c r="I4" t="inlineStr">
        <is>
          <t>7-299-301</t>
        </is>
      </c>
    </row>
    <row r="5" ht="30" customHeight="1">
      <c r="A5" s="4" t="inlineStr">
        <is>
          <t>Точки доступа WiFi</t>
        </is>
      </c>
      <c r="B5" s="4" t="inlineStr">
        <is>
          <t>Точка доступа Ubiquiti UniFi U6 Long Range U6-LR</t>
        </is>
      </c>
      <c r="C5" s="5" t="inlineStr"/>
      <c r="D5" s="5" t="n">
        <v>3946876</v>
      </c>
      <c r="E5" s="5" t="n">
        <v>3523996</v>
      </c>
      <c r="F5" s="5" t="n">
        <v>3032125</v>
      </c>
      <c r="G5" s="5" t="inlineStr">
        <is>
          <t>UniFi UBIQUITI</t>
        </is>
      </c>
      <c r="H5" s="5">
        <f>HYPERLINK("https://itrix.uz/product/300", "🔗 Купить продукт")</f>
        <v/>
      </c>
      <c r="I5" t="inlineStr">
        <is>
          <t>7-300-302</t>
        </is>
      </c>
    </row>
    <row r="6" ht="30" customHeight="1">
      <c r="A6" s="4" t="inlineStr">
        <is>
          <t>Точки доступа WiFi</t>
        </is>
      </c>
      <c r="B6" s="4" t="inlineStr">
        <is>
          <t>Точка доступа Ubiquiti Unifi U6 Plus U6+</t>
        </is>
      </c>
      <c r="C6" s="5" t="inlineStr"/>
      <c r="D6" s="5" t="n">
        <v>1897339</v>
      </c>
      <c r="E6" s="5" t="n">
        <v>1694053</v>
      </c>
      <c r="F6" s="5" t="n">
        <v>1489710</v>
      </c>
      <c r="G6" s="5" t="inlineStr">
        <is>
          <t>UniFi UBIQUITI</t>
        </is>
      </c>
      <c r="H6" s="5">
        <f>HYPERLINK("https://itrix.uz/product/303", "🔗 Купить продукт")</f>
        <v/>
      </c>
      <c r="I6" t="inlineStr">
        <is>
          <t>7-303-305</t>
        </is>
      </c>
    </row>
    <row r="7" ht="30" customHeight="1">
      <c r="A7" s="4" t="inlineStr">
        <is>
          <t>Точки доступа WiFi</t>
        </is>
      </c>
      <c r="B7" s="4" t="inlineStr">
        <is>
          <t>Маршрутизатор и точка доступа Ubiquiti UniFi Express UX</t>
        </is>
      </c>
      <c r="C7" s="5" t="inlineStr"/>
      <c r="D7" s="5" t="n">
        <v>2503424</v>
      </c>
      <c r="E7" s="5" t="n">
        <v>2235200</v>
      </c>
      <c r="F7" s="5" t="inlineStr"/>
      <c r="G7" s="5" t="inlineStr">
        <is>
          <t>UniFi UBIQUITI</t>
        </is>
      </c>
      <c r="H7" s="5">
        <f>HYPERLINK("https://itrix.uz/product/307", "🔗 Купить продукт")</f>
        <v/>
      </c>
      <c r="I7" t="inlineStr">
        <is>
          <t>7-307-309</t>
        </is>
      </c>
    </row>
    <row r="8" ht="30" customHeight="1">
      <c r="A8" s="4" t="inlineStr">
        <is>
          <t>Точки доступа WiFi</t>
        </is>
      </c>
      <c r="B8" s="4" t="inlineStr">
        <is>
          <t>Радиомост Ubiquiti airMAX PowerBeam 5AC PBE-5AC-Gen2</t>
        </is>
      </c>
      <c r="C8" s="5" t="inlineStr"/>
      <c r="D8" s="5" t="n">
        <v>3143504</v>
      </c>
      <c r="E8" s="5" t="n">
        <v>2806700</v>
      </c>
      <c r="F8" s="5" t="inlineStr"/>
      <c r="G8" s="5" t="inlineStr">
        <is>
          <t>UniFi UBIQUITI</t>
        </is>
      </c>
      <c r="H8" s="5">
        <f>HYPERLINK("https://itrix.uz/product/314", "🔗 Купить продукт")</f>
        <v/>
      </c>
      <c r="I8" t="inlineStr">
        <is>
          <t>7-314-316</t>
        </is>
      </c>
    </row>
    <row r="9" ht="30" customHeight="1">
      <c r="A9" s="4" t="inlineStr">
        <is>
          <t>Точки доступа WiFi</t>
        </is>
      </c>
      <c r="B9" s="4" t="inlineStr">
        <is>
          <t>Точка доступа Ubiquiti airMAX Lite AP LAP-120</t>
        </is>
      </c>
      <c r="C9" s="5" t="inlineStr"/>
      <c r="D9" s="5" t="n">
        <v>2574544</v>
      </c>
      <c r="E9" s="5" t="n">
        <v>2298700</v>
      </c>
      <c r="F9" s="5" t="inlineStr"/>
      <c r="G9" s="5" t="inlineStr">
        <is>
          <t>UniFi UBIQUITI</t>
        </is>
      </c>
      <c r="H9" s="5">
        <f>HYPERLINK("https://itrix.uz/product/315", "🔗 Купить продукт")</f>
        <v/>
      </c>
      <c r="I9" t="inlineStr">
        <is>
          <t>7-315-317</t>
        </is>
      </c>
    </row>
    <row r="10" ht="30" customHeight="1">
      <c r="A10" s="4" t="inlineStr">
        <is>
          <t>Точки доступа WiFi</t>
        </is>
      </c>
      <c r="B10" s="4" t="inlineStr">
        <is>
          <t>Wi-Fi роутер MikroTik hAP ac 2 RBD52G-5HacD2HnD-TC</t>
        </is>
      </c>
      <c r="C10" s="5" t="inlineStr"/>
      <c r="D10" s="5" t="n">
        <v>1190407</v>
      </c>
      <c r="E10" s="5" t="n">
        <v>1062863</v>
      </c>
      <c r="F10" s="5" t="n">
        <v>981075</v>
      </c>
      <c r="G10" s="5" t="inlineStr">
        <is>
          <t>Mikrotik</t>
        </is>
      </c>
      <c r="H10" s="5">
        <f>HYPERLINK("https://itrix.uz/product/316", "🔗 Купить продукт")</f>
        <v/>
      </c>
      <c r="I10" t="inlineStr">
        <is>
          <t>7-316-318</t>
        </is>
      </c>
    </row>
    <row r="11" ht="30" customHeight="1">
      <c r="A11" s="4" t="inlineStr">
        <is>
          <t>Точки доступа WiFi</t>
        </is>
      </c>
      <c r="B11" s="4" t="inlineStr">
        <is>
          <t>Точка доступа MikroTik cAP RBcAP2nD</t>
        </is>
      </c>
      <c r="C11" s="5" t="inlineStr"/>
      <c r="D11" s="5" t="n">
        <v>1265936</v>
      </c>
      <c r="E11" s="5" t="n">
        <v>1130300</v>
      </c>
      <c r="F11" s="5" t="inlineStr"/>
      <c r="G11" s="5" t="inlineStr">
        <is>
          <t>Mikrotik</t>
        </is>
      </c>
      <c r="H11" s="5">
        <f>HYPERLINK("https://itrix.uz/product/254", "🔗 Купить продукт")</f>
        <v/>
      </c>
      <c r="I11" t="inlineStr">
        <is>
          <t>7-254-256</t>
        </is>
      </c>
    </row>
    <row r="12" ht="30" customHeight="1">
      <c r="A12" s="4" t="inlineStr">
        <is>
          <t>Точки доступа WiFi</t>
        </is>
      </c>
      <c r="B12" s="4" t="inlineStr">
        <is>
          <t>Точка доступа MikroTik cAP ac RBcAPGi-5acD2nD</t>
        </is>
      </c>
      <c r="C12" s="5" t="inlineStr"/>
      <c r="D12" s="5" t="n">
        <v>1223264</v>
      </c>
      <c r="E12" s="5" t="n">
        <v>1092200</v>
      </c>
      <c r="F12" s="5" t="inlineStr"/>
      <c r="G12" s="5" t="inlineStr">
        <is>
          <t>Mikrotik</t>
        </is>
      </c>
      <c r="H12" s="5">
        <f>HYPERLINK("https://itrix.uz/product/253", "🔗 Купить продукт")</f>
        <v/>
      </c>
      <c r="I12" t="inlineStr">
        <is>
          <t>7-253-255</t>
        </is>
      </c>
    </row>
    <row r="13" ht="30" customHeight="1">
      <c r="A13" s="4" t="inlineStr">
        <is>
          <t>Точки доступа WiFi</t>
        </is>
      </c>
      <c r="B13" s="4" t="inlineStr">
        <is>
          <t>Секторная антенна Ubiquiti LiteAP ac (LAP-120)</t>
        </is>
      </c>
      <c r="C13" s="5" t="inlineStr"/>
      <c r="D13" s="5" t="n">
        <v>1481287</v>
      </c>
      <c r="E13" s="5" t="n">
        <v>1322578</v>
      </c>
      <c r="F13" s="5" t="n">
        <v>1220851</v>
      </c>
      <c r="G13" s="5" t="inlineStr">
        <is>
          <t>UniFi UBIQUITI</t>
        </is>
      </c>
      <c r="H13" s="5">
        <f>HYPERLINK("https://itrix.uz/product/1347", "🔗 Купить продукт")</f>
        <v/>
      </c>
      <c r="I13" t="inlineStr">
        <is>
          <t>7-1347-1047</t>
        </is>
      </c>
    </row>
    <row r="14" ht="30" customHeight="1">
      <c r="A14" s="4" t="inlineStr">
        <is>
          <t>Точки доступа WiFi</t>
        </is>
      </c>
      <c r="B14" s="4" t="inlineStr">
        <is>
          <t>Точка доступа Ubiquiti Unifi U6 Extender U6-Extender</t>
        </is>
      </c>
      <c r="C14" s="5" t="inlineStr"/>
      <c r="D14" s="5" t="n">
        <v>2794305</v>
      </c>
      <c r="E14" s="5" t="n">
        <v>2494915</v>
      </c>
      <c r="F14" s="5" t="n">
        <v>2331720</v>
      </c>
      <c r="G14" s="5" t="inlineStr">
        <is>
          <t>UniFi UBIQUITI</t>
        </is>
      </c>
      <c r="H14" s="5">
        <f>HYPERLINK("https://itrix.uz/product/305", "🔗 Купить продукт")</f>
        <v/>
      </c>
      <c r="I14" t="inlineStr">
        <is>
          <t>7-305-307</t>
        </is>
      </c>
    </row>
    <row r="15" ht="30" customHeight="1">
      <c r="A15" s="4" t="inlineStr">
        <is>
          <t>Точки доступа WiFi</t>
        </is>
      </c>
      <c r="B15" s="4" t="inlineStr">
        <is>
          <t>Точка доступа Ubiquiti UniFi AC Mesh (UAP-AC-M)</t>
        </is>
      </c>
      <c r="C15" s="5" t="inlineStr"/>
      <c r="D15" s="5" t="n">
        <v>1640027</v>
      </c>
      <c r="E15" s="5" t="n">
        <v>1464310</v>
      </c>
      <c r="F15" s="5" t="n">
        <v>1351661</v>
      </c>
      <c r="G15" s="5" t="inlineStr">
        <is>
          <t>UniFi UBIQUITI</t>
        </is>
      </c>
      <c r="H15" s="5">
        <f>HYPERLINK("https://itrix.uz/product/1394", "🔗 Купить продукт")</f>
        <v/>
      </c>
      <c r="I15" t="inlineStr">
        <is>
          <t>7-1394-1094</t>
        </is>
      </c>
    </row>
    <row r="16" ht="30" customHeight="1">
      <c r="A16" s="4" t="inlineStr">
        <is>
          <t>Точки доступа WiFi</t>
        </is>
      </c>
      <c r="B16" s="4" t="inlineStr">
        <is>
          <t>Точка доступа MikroTik Disc Lite5 RBDisc-5nD</t>
        </is>
      </c>
      <c r="C16" s="5" t="inlineStr"/>
      <c r="D16" s="5" t="n">
        <v>1265936</v>
      </c>
      <c r="E16" s="5" t="n">
        <v>1130300</v>
      </c>
      <c r="F16" s="5" t="inlineStr"/>
      <c r="G16" s="5" t="inlineStr">
        <is>
          <t>Mikrotik</t>
        </is>
      </c>
      <c r="H16" s="5">
        <f>HYPERLINK("https://itrix.uz/product/255", "🔗 Купить продукт")</f>
        <v/>
      </c>
      <c r="I16" t="inlineStr">
        <is>
          <t>7-255-257</t>
        </is>
      </c>
    </row>
    <row r="17" ht="30" customHeight="1">
      <c r="A17" s="4" t="inlineStr">
        <is>
          <t>Точки доступа WiFi</t>
        </is>
      </c>
      <c r="B17" s="4" t="inlineStr">
        <is>
          <t>Точка доступа Ubiquiti Unifi U6 Mesh U6-MESH</t>
        </is>
      </c>
      <c r="C17" s="5" t="inlineStr"/>
      <c r="D17" s="5" t="n">
        <v>3253740</v>
      </c>
      <c r="E17" s="5" t="n">
        <v>2905125</v>
      </c>
      <c r="F17" s="5" t="n">
        <v>2681605</v>
      </c>
      <c r="G17" s="5" t="inlineStr">
        <is>
          <t>UniFi UBIQUITI</t>
        </is>
      </c>
      <c r="H17" s="5">
        <f>HYPERLINK("https://itrix.uz/product/304", "🔗 Купить продукт")</f>
        <v/>
      </c>
      <c r="I17" t="inlineStr">
        <is>
          <t>7-304-306</t>
        </is>
      </c>
    </row>
    <row r="18" ht="30" customHeight="1">
      <c r="A18" s="4" t="inlineStr">
        <is>
          <t>Точки доступа WiFi</t>
        </is>
      </c>
      <c r="B18" s="4" t="inlineStr">
        <is>
          <t>Точка доступа Ubiquiti Unifi U6 In Wall U6-IW</t>
        </is>
      </c>
      <c r="C18" s="5" t="inlineStr"/>
      <c r="D18" s="5" t="n">
        <v>3385312</v>
      </c>
      <c r="E18" s="5" t="n">
        <v>3022600</v>
      </c>
      <c r="F18" s="5" t="inlineStr"/>
      <c r="G18" s="5" t="inlineStr">
        <is>
          <t>UniFi UBIQUITI</t>
        </is>
      </c>
      <c r="H18" s="5">
        <f>HYPERLINK("https://itrix.uz/product/306", "🔗 Купить продукт")</f>
        <v/>
      </c>
      <c r="I18" t="inlineStr">
        <is>
          <t>7-306-308</t>
        </is>
      </c>
    </row>
    <row r="19" ht="30" customHeight="1">
      <c r="A19" s="4" t="inlineStr">
        <is>
          <t>Точки доступа WiFi</t>
        </is>
      </c>
      <c r="B19" s="4" t="inlineStr">
        <is>
          <t>Радиомост Ubiquiti airMAX LiteBeam 5AC Gen 2 LBE-5AC-GEN2</t>
        </is>
      </c>
      <c r="C19" s="5" t="inlineStr"/>
      <c r="D19" s="5" t="n">
        <v>1393952</v>
      </c>
      <c r="E19" s="5" t="n">
        <v>1244600</v>
      </c>
      <c r="F19" s="5" t="inlineStr"/>
      <c r="G19" s="5" t="inlineStr">
        <is>
          <t>UniFi UBIQUITI</t>
        </is>
      </c>
      <c r="H19" s="5">
        <f>HYPERLINK("https://itrix.uz/product/313", "🔗 Купить продукт")</f>
        <v/>
      </c>
      <c r="I19" t="inlineStr">
        <is>
          <t>7-313-315</t>
        </is>
      </c>
    </row>
    <row r="20" ht="30" customHeight="1">
      <c r="A20" s="4" t="inlineStr">
        <is>
          <t>Точки доступа WiFi</t>
        </is>
      </c>
      <c r="B20" s="4" t="inlineStr">
        <is>
          <t>Точка доступа Ubiquiti UniFi AC Swiss Army Knife UK-Ultra</t>
        </is>
      </c>
      <c r="C20" s="5" t="inlineStr"/>
      <c r="D20" s="5" t="n">
        <v>2467864</v>
      </c>
      <c r="E20" s="5" t="n">
        <v>2203450</v>
      </c>
      <c r="F20" s="5" t="n">
        <v>2059305</v>
      </c>
      <c r="G20" s="5" t="inlineStr">
        <is>
          <t>UniFi UBIQUITI</t>
        </is>
      </c>
      <c r="H20" s="5">
        <f>HYPERLINK("https://itrix.uz/product/298", "🔗 Купить продукт")</f>
        <v/>
      </c>
      <c r="I20" t="inlineStr">
        <is>
          <t>7-298-300</t>
        </is>
      </c>
    </row>
    <row r="21" ht="30" customHeight="1">
      <c r="A21" s="4" t="inlineStr">
        <is>
          <t>Точки доступа WiFi</t>
        </is>
      </c>
      <c r="B21" s="4" t="inlineStr">
        <is>
          <t>Точка доступа Ubiquiti UniFi U6 Pro U6-Pro</t>
        </is>
      </c>
      <c r="C21" s="5" t="inlineStr"/>
      <c r="D21" s="5" t="n">
        <v>2777520</v>
      </c>
      <c r="E21" s="5" t="n">
        <v>2479929</v>
      </c>
      <c r="F21" s="5" t="n">
        <v>2289175</v>
      </c>
      <c r="G21" s="5" t="inlineStr">
        <is>
          <t>UniFi UBIQUITI</t>
        </is>
      </c>
      <c r="H21" s="5">
        <f>HYPERLINK("https://itrix.uz/product/302", "🔗 Купить продукт")</f>
        <v/>
      </c>
      <c r="I21" t="inlineStr">
        <is>
          <t>7-302-304</t>
        </is>
      </c>
    </row>
    <row r="22" ht="30" customHeight="1">
      <c r="A22" s="4" t="inlineStr">
        <is>
          <t>Точки доступа WiFi</t>
        </is>
      </c>
      <c r="B22" s="4" t="inlineStr">
        <is>
          <t>Точка доступа Ubiquiti NanoStation 5AC Loco (Loco5AC)</t>
        </is>
      </c>
      <c r="C22" s="5" t="inlineStr"/>
      <c r="D22" s="5" t="n">
        <v>820014</v>
      </c>
      <c r="E22" s="5" t="n">
        <v>732155</v>
      </c>
      <c r="F22" s="5" t="n">
        <v>675894</v>
      </c>
      <c r="G22" s="5" t="inlineStr">
        <is>
          <t>UniFi UBIQUITI</t>
        </is>
      </c>
      <c r="H22" s="5">
        <f>HYPERLINK("https://itrix.uz/product/1349", "🔗 Купить продукт")</f>
        <v/>
      </c>
      <c r="I22" t="inlineStr">
        <is>
          <t>7-1349-1049</t>
        </is>
      </c>
    </row>
    <row r="23" ht="30" customHeight="1">
      <c r="A23" s="4" t="inlineStr">
        <is>
          <t>Точки доступа WiFi</t>
        </is>
      </c>
      <c r="B23" s="4" t="inlineStr">
        <is>
          <t>Точка доступа Ubiquiti NanoStation Loco M2</t>
        </is>
      </c>
      <c r="C23" s="5" t="inlineStr"/>
      <c r="D23" s="5" t="n">
        <v>767100</v>
      </c>
      <c r="E23" s="5" t="n">
        <v>684911</v>
      </c>
      <c r="F23" s="5" t="n">
        <v>632206</v>
      </c>
      <c r="G23" s="5" t="inlineStr">
        <is>
          <t>UniFi UBIQUITI</t>
        </is>
      </c>
      <c r="H23" s="5">
        <f>HYPERLINK("https://itrix.uz/product/1350", "🔗 Купить продукт")</f>
        <v/>
      </c>
      <c r="I23" t="inlineStr">
        <is>
          <t>7-1350-1050</t>
        </is>
      </c>
    </row>
    <row r="24" ht="30" customHeight="1">
      <c r="A24" s="4" t="inlineStr">
        <is>
          <t>Точки доступа WiFi</t>
        </is>
      </c>
      <c r="B24" s="4" t="inlineStr">
        <is>
          <t>Точка доступа H3C WA6120 Access Point</t>
        </is>
      </c>
      <c r="C24" s="5" t="inlineStr"/>
      <c r="D24" s="5" t="n">
        <v>1337056</v>
      </c>
      <c r="E24" s="5" t="n">
        <v>1193800</v>
      </c>
      <c r="F24" s="5" t="inlineStr"/>
      <c r="G24" s="5" t="inlineStr">
        <is>
          <t>H3C</t>
        </is>
      </c>
      <c r="H24" s="5">
        <f>HYPERLINK("https://itrix.uz/product/209", "🔗 Купить продукт")</f>
        <v/>
      </c>
      <c r="I24" t="inlineStr">
        <is>
          <t>7-209-211</t>
        </is>
      </c>
    </row>
    <row r="25" ht="30" customHeight="1">
      <c r="A25" s="4" t="inlineStr">
        <is>
          <t>Точки доступа WiFi</t>
        </is>
      </c>
      <c r="B25" s="4" t="inlineStr">
        <is>
          <t>Точка доступа H3C WA6120X Outdoor Access Point</t>
        </is>
      </c>
      <c r="C25" s="5" t="inlineStr"/>
      <c r="D25" s="5" t="n">
        <v>4850384</v>
      </c>
      <c r="E25" s="5" t="n">
        <v>4330700</v>
      </c>
      <c r="F25" s="5" t="inlineStr"/>
      <c r="G25" s="5" t="inlineStr">
        <is>
          <t>H3C</t>
        </is>
      </c>
      <c r="H25" s="5">
        <f>HYPERLINK("https://itrix.uz/product/210", "🔗 Купить продукт")</f>
        <v/>
      </c>
      <c r="I25" t="inlineStr">
        <is>
          <t>7-210-212</t>
        </is>
      </c>
    </row>
    <row r="26" ht="30" customHeight="1">
      <c r="A26" s="4" t="inlineStr">
        <is>
          <t>Точки доступа WiFi</t>
        </is>
      </c>
      <c r="B26" s="4" t="inlineStr">
        <is>
          <t xml:space="preserve">Точка доступа Mikrotik SXTsq Lite5 RBSXTsq5nD </t>
        </is>
      </c>
      <c r="C26" s="5" t="inlineStr"/>
      <c r="D26" s="5" t="n">
        <v>840069</v>
      </c>
      <c r="E26" s="5" t="n">
        <v>750062</v>
      </c>
      <c r="F26" s="5" t="n">
        <v>613410</v>
      </c>
      <c r="G26" s="5" t="inlineStr">
        <is>
          <t>Mikrotik</t>
        </is>
      </c>
      <c r="H26" s="5">
        <f>HYPERLINK("https://itrix.uz/product/248", "🔗 Купить продукт")</f>
        <v/>
      </c>
      <c r="I26" t="inlineStr">
        <is>
          <t>7-248-250</t>
        </is>
      </c>
    </row>
    <row r="27" ht="30" customHeight="1">
      <c r="A27" s="4" t="inlineStr">
        <is>
          <t>Точки доступа WiFi</t>
        </is>
      </c>
      <c r="B27" s="4" t="inlineStr">
        <is>
          <t>Точка доступа MikroTik wAP ac (белый) RBwAPG-5HacD2HnD</t>
        </is>
      </c>
      <c r="C27" s="5" t="inlineStr"/>
      <c r="D27" s="5" t="n">
        <v>1265936</v>
      </c>
      <c r="E27" s="5" t="n">
        <v>1130300</v>
      </c>
      <c r="F27" s="5" t="inlineStr"/>
      <c r="G27" s="5" t="inlineStr">
        <is>
          <t>Mikrotik</t>
        </is>
      </c>
      <c r="H27" s="5">
        <f>HYPERLINK("https://itrix.uz/product/252", "🔗 Купить продукт")</f>
        <v/>
      </c>
      <c r="I27" t="inlineStr">
        <is>
          <t>7-252-254</t>
        </is>
      </c>
    </row>
    <row r="28" ht="30" customHeight="1">
      <c r="A28" s="4" t="inlineStr">
        <is>
          <t>Точки доступа WiFi</t>
        </is>
      </c>
      <c r="B28" s="4" t="inlineStr">
        <is>
          <t>Точка доступа Wi-Fi 6 Grandstream GWN7604</t>
        </is>
      </c>
      <c r="C28" s="5" t="inlineStr"/>
      <c r="D28" s="5" t="n">
        <v>1331366</v>
      </c>
      <c r="E28" s="5" t="n">
        <v>1188720</v>
      </c>
      <c r="F28" s="5" t="inlineStr"/>
      <c r="G28" s="5" t="inlineStr">
        <is>
          <t>Grandstream</t>
        </is>
      </c>
      <c r="H28" s="5">
        <f>HYPERLINK("https://itrix.uz/product/943", "🔗 Купить продукт")</f>
        <v/>
      </c>
      <c r="I28" t="inlineStr">
        <is>
          <t>7-943-832</t>
        </is>
      </c>
    </row>
    <row r="29" ht="30" customHeight="1">
      <c r="A29" s="4" t="inlineStr">
        <is>
          <t>Точки доступа WiFi</t>
        </is>
      </c>
      <c r="B29" s="4" t="inlineStr">
        <is>
          <t>Точка доступа Wi-Fi Grandstream GWN7605</t>
        </is>
      </c>
      <c r="C29" s="5" t="inlineStr"/>
      <c r="D29" s="5" t="n">
        <v>1331366</v>
      </c>
      <c r="E29" s="5" t="n">
        <v>1188720</v>
      </c>
      <c r="F29" s="5" t="inlineStr"/>
      <c r="G29" s="5" t="inlineStr">
        <is>
          <t>Grandstream</t>
        </is>
      </c>
      <c r="H29" s="5">
        <f>HYPERLINK("https://itrix.uz/product/944", "🔗 Купить продукт")</f>
        <v/>
      </c>
      <c r="I29" t="inlineStr">
        <is>
          <t>7-944-833</t>
        </is>
      </c>
    </row>
    <row r="30" ht="30" customHeight="1">
      <c r="A30" s="4" t="inlineStr">
        <is>
          <t>Точки доступа WiFi</t>
        </is>
      </c>
      <c r="B30" s="4" t="inlineStr">
        <is>
          <t xml:space="preserve">Точка доступа Grandstream GWN7605LR </t>
        </is>
      </c>
      <c r="C30" s="5" t="inlineStr"/>
      <c r="D30" s="5" t="n">
        <v>1894637</v>
      </c>
      <c r="E30" s="5" t="n">
        <v>1691640</v>
      </c>
      <c r="F30" s="5" t="inlineStr"/>
      <c r="G30" s="5" t="inlineStr">
        <is>
          <t>Grandstream</t>
        </is>
      </c>
      <c r="H30" s="5">
        <f>HYPERLINK("https://itrix.uz/product/945", "🔗 Купить продукт")</f>
        <v/>
      </c>
      <c r="I30" t="inlineStr">
        <is>
          <t>7-945-834</t>
        </is>
      </c>
    </row>
    <row r="31" ht="30" customHeight="1">
      <c r="A31" s="4" t="inlineStr">
        <is>
          <t>Точки доступа WiFi</t>
        </is>
      </c>
      <c r="B31" s="4" t="inlineStr">
        <is>
          <t>Точка доступа WiFi Grandstream GWN7615</t>
        </is>
      </c>
      <c r="C31" s="5" t="inlineStr"/>
      <c r="D31" s="5" t="n">
        <v>1706880</v>
      </c>
      <c r="E31" s="5" t="n">
        <v>1524000</v>
      </c>
      <c r="F31" s="5" t="inlineStr"/>
      <c r="G31" s="5" t="inlineStr">
        <is>
          <t>Grandstream</t>
        </is>
      </c>
      <c r="H31" s="5">
        <f>HYPERLINK("https://itrix.uz/product/946", "🔗 Купить продукт")</f>
        <v/>
      </c>
      <c r="I31" t="inlineStr">
        <is>
          <t>7-946-835</t>
        </is>
      </c>
    </row>
    <row r="32" ht="30" customHeight="1">
      <c r="A32" s="4" t="inlineStr">
        <is>
          <t>Точки доступа WiFi</t>
        </is>
      </c>
      <c r="B32" s="4" t="inlineStr">
        <is>
          <t>Точка доступа  WiFi  Grandstream GWN7630</t>
        </is>
      </c>
      <c r="C32" s="5" t="inlineStr"/>
      <c r="D32" s="5" t="n">
        <v>2099462</v>
      </c>
      <c r="E32" s="5" t="n">
        <v>1874520</v>
      </c>
      <c r="F32" s="5" t="inlineStr"/>
      <c r="G32" s="5" t="inlineStr">
        <is>
          <t>Grandstream</t>
        </is>
      </c>
      <c r="H32" s="5">
        <f>HYPERLINK("https://itrix.uz/product/947", "🔗 Купить продукт")</f>
        <v/>
      </c>
      <c r="I32" t="inlineStr">
        <is>
          <t>7-947-836</t>
        </is>
      </c>
    </row>
    <row r="33" ht="30" customHeight="1">
      <c r="A33" s="4" t="inlineStr">
        <is>
          <t>Точки доступа WiFi</t>
        </is>
      </c>
      <c r="B33" s="4" t="inlineStr">
        <is>
          <t>Точка доступа Ubiquiti LTU PRO (LTU-PRO-EU)</t>
        </is>
      </c>
      <c r="C33" s="5" t="inlineStr"/>
      <c r="D33" s="5" t="n">
        <v>3147913</v>
      </c>
      <c r="E33" s="5" t="n">
        <v>2810637</v>
      </c>
      <c r="F33" s="5" t="n">
        <v>2594356</v>
      </c>
      <c r="G33" s="5" t="inlineStr">
        <is>
          <t>UniFi UBIQUITI</t>
        </is>
      </c>
      <c r="H33" s="5">
        <f>HYPERLINK("https://itrix.uz/product/1352", "🔗 Купить продукт")</f>
        <v/>
      </c>
      <c r="I33" t="inlineStr">
        <is>
          <t>7-1352-1052</t>
        </is>
      </c>
    </row>
    <row r="34" ht="30" customHeight="1">
      <c r="A34" s="4" t="inlineStr">
        <is>
          <t>Точки доступа WiFi</t>
        </is>
      </c>
      <c r="B34" s="4" t="inlineStr">
        <is>
          <t>Wi-Fi роутер Ubiquiti NanoBeam 5AC Gen2</t>
        </is>
      </c>
      <c r="C34" s="5" t="inlineStr"/>
      <c r="D34" s="5" t="n">
        <v>1640027</v>
      </c>
      <c r="E34" s="5" t="n">
        <v>1464310</v>
      </c>
      <c r="F34" s="5" t="n">
        <v>1351661</v>
      </c>
      <c r="G34" s="5" t="inlineStr">
        <is>
          <t>UniFi UBIQUITI</t>
        </is>
      </c>
      <c r="H34" s="5">
        <f>HYPERLINK("https://itrix.uz/product/1353", "🔗 Купить продукт")</f>
        <v/>
      </c>
      <c r="I34" t="inlineStr">
        <is>
          <t>7-1353-1053</t>
        </is>
      </c>
    </row>
    <row r="35" ht="30" customHeight="1">
      <c r="A35" s="4" t="inlineStr">
        <is>
          <t>Точки доступа WiFi</t>
        </is>
      </c>
      <c r="B35" s="4" t="inlineStr">
        <is>
          <t xml:space="preserve">Точка доступа WiFi Grandstream GWN7630LR  </t>
        </is>
      </c>
      <c r="C35" s="5" t="inlineStr"/>
      <c r="D35" s="5" t="n">
        <v>2389632</v>
      </c>
      <c r="E35" s="5" t="n">
        <v>2133600</v>
      </c>
      <c r="F35" s="5" t="inlineStr"/>
      <c r="G35" s="5" t="inlineStr">
        <is>
          <t>Grandstream</t>
        </is>
      </c>
      <c r="H35" s="5">
        <f>HYPERLINK("https://itrix.uz/product/948", "🔗 Купить продукт")</f>
        <v/>
      </c>
      <c r="I35" t="inlineStr">
        <is>
          <t>7-948-837</t>
        </is>
      </c>
    </row>
    <row r="36" ht="30" customHeight="1">
      <c r="A36" s="4" t="inlineStr">
        <is>
          <t>Точки доступа WiFi</t>
        </is>
      </c>
      <c r="B36" s="4" t="inlineStr">
        <is>
          <t>Точка доступа Wi-Fi Grandstream GWN7660ELR</t>
        </is>
      </c>
      <c r="C36" s="5" t="inlineStr"/>
      <c r="D36" s="5" t="n">
        <v>2201875</v>
      </c>
      <c r="E36" s="5" t="n">
        <v>1965960</v>
      </c>
      <c r="F36" s="5" t="inlineStr"/>
      <c r="G36" s="5" t="inlineStr">
        <is>
          <t>Grandstream</t>
        </is>
      </c>
      <c r="H36" s="5">
        <f>HYPERLINK("https://itrix.uz/product/950", "🔗 Купить продукт")</f>
        <v/>
      </c>
      <c r="I36" t="inlineStr">
        <is>
          <t>7-950-839</t>
        </is>
      </c>
    </row>
    <row r="37" ht="30" customHeight="1">
      <c r="A37" s="4" t="inlineStr">
        <is>
          <t>Точки доступа WiFi</t>
        </is>
      </c>
      <c r="B37" s="4" t="inlineStr">
        <is>
          <t xml:space="preserve">Точка доступа WiFi  Grandstream GWN7664E </t>
        </is>
      </c>
      <c r="C37" s="5" t="inlineStr"/>
      <c r="D37" s="5" t="n">
        <v>3157728</v>
      </c>
      <c r="E37" s="5" t="n">
        <v>2819400</v>
      </c>
      <c r="F37" s="5" t="inlineStr"/>
      <c r="G37" s="5" t="inlineStr">
        <is>
          <t>Grandstream</t>
        </is>
      </c>
      <c r="H37" s="5">
        <f>HYPERLINK("https://itrix.uz/product/951", "🔗 Купить продукт")</f>
        <v/>
      </c>
      <c r="I37" t="inlineStr">
        <is>
          <t>7-951-840</t>
        </is>
      </c>
    </row>
    <row r="38" ht="30" customHeight="1">
      <c r="A38" s="4" t="inlineStr">
        <is>
          <t>Точки доступа WiFi</t>
        </is>
      </c>
      <c r="B38" s="4" t="inlineStr">
        <is>
          <t xml:space="preserve">Точка доступа Wi-Fi 7 Grandstream GWN7670 </t>
        </is>
      </c>
      <c r="C38" s="5" t="inlineStr"/>
      <c r="D38" s="5" t="n">
        <v>2201875</v>
      </c>
      <c r="E38" s="5" t="n">
        <v>1965960</v>
      </c>
      <c r="F38" s="5" t="inlineStr"/>
      <c r="G38" s="5" t="inlineStr">
        <is>
          <t>Grandstream</t>
        </is>
      </c>
      <c r="H38" s="5">
        <f>HYPERLINK("https://itrix.uz/product/952", "🔗 Купить продукт")</f>
        <v/>
      </c>
      <c r="I38" t="inlineStr">
        <is>
          <t>7-952-841</t>
        </is>
      </c>
    </row>
    <row r="39" ht="30" customHeight="1">
      <c r="A39" s="4" t="inlineStr">
        <is>
          <t>Точки доступа WiFi</t>
        </is>
      </c>
      <c r="B39" s="4" t="inlineStr">
        <is>
          <t>Точка доступа Ubiquiti NanoStation 5AC 5</t>
        </is>
      </c>
      <c r="C39" s="5" t="inlineStr"/>
      <c r="D39" s="5" t="n">
        <v>2116247</v>
      </c>
      <c r="E39" s="5" t="n">
        <v>1889506</v>
      </c>
      <c r="F39" s="5" t="n">
        <v>1744091</v>
      </c>
      <c r="G39" s="5" t="inlineStr">
        <is>
          <t>UniFi UBIQUITI</t>
        </is>
      </c>
      <c r="H39" s="5">
        <f>HYPERLINK("https://itrix.uz/product/1354", "🔗 Купить продукт")</f>
        <v/>
      </c>
      <c r="I39" t="inlineStr">
        <is>
          <t>7-1354-1054</t>
        </is>
      </c>
    </row>
    <row r="40" ht="30" customHeight="1">
      <c r="A40" s="4" t="inlineStr">
        <is>
          <t>Точки доступа WiFi</t>
        </is>
      </c>
      <c r="B40" s="4" t="inlineStr">
        <is>
          <t>Наружная точка доступа Wi-Fi 6 Grandstream GWN7664ELR</t>
        </is>
      </c>
      <c r="C40" s="5" t="inlineStr"/>
      <c r="D40" s="5" t="n">
        <v>3806342</v>
      </c>
      <c r="E40" s="5" t="n">
        <v>3398520</v>
      </c>
      <c r="F40" s="5" t="inlineStr"/>
      <c r="G40" s="5" t="inlineStr">
        <is>
          <t>Grandstream</t>
        </is>
      </c>
      <c r="H40" s="5">
        <f>HYPERLINK("https://itrix.uz/product/1265", "🔗 Купить продукт")</f>
        <v/>
      </c>
      <c r="I40" t="inlineStr">
        <is>
          <t>7-1265-976</t>
        </is>
      </c>
    </row>
    <row r="41" ht="30" customHeight="1">
      <c r="A41" s="4" t="inlineStr">
        <is>
          <t>Точки доступа WiFi</t>
        </is>
      </c>
      <c r="B41" s="4" t="inlineStr">
        <is>
          <t>Точка доступа Ubiquiti NanoStation (NSM2)</t>
        </is>
      </c>
      <c r="C41" s="5" t="inlineStr"/>
      <c r="D41" s="5" t="n">
        <v>1391392</v>
      </c>
      <c r="E41" s="5" t="n">
        <v>1242314</v>
      </c>
      <c r="F41" s="5" t="n">
        <v>1146810</v>
      </c>
      <c r="G41" s="5" t="inlineStr">
        <is>
          <t>UniFi UBIQUITI</t>
        </is>
      </c>
      <c r="H41" s="5">
        <f>HYPERLINK("https://itrix.uz/product/1355", "🔗 Купить продукт")</f>
        <v/>
      </c>
      <c r="I41" t="inlineStr">
        <is>
          <t>7-1355-1055</t>
        </is>
      </c>
    </row>
    <row r="42" ht="30" customHeight="1">
      <c r="A42" s="4" t="inlineStr">
        <is>
          <t>Точки доступа WiFi</t>
        </is>
      </c>
      <c r="B42" s="4" t="inlineStr">
        <is>
          <t>Точка доступа Ubiquiti NanoStation M5 (NSM5)</t>
        </is>
      </c>
      <c r="C42" s="5" t="inlineStr"/>
      <c r="D42" s="5" t="n">
        <v>1392672</v>
      </c>
      <c r="E42" s="5" t="n">
        <v>1243457</v>
      </c>
      <c r="F42" s="5" t="n">
        <v>1147826</v>
      </c>
      <c r="G42" s="5" t="inlineStr">
        <is>
          <t>UniFi UBIQUITI</t>
        </is>
      </c>
      <c r="H42" s="5">
        <f>HYPERLINK("https://itrix.uz/product/1356", "🔗 Купить продукт")</f>
        <v/>
      </c>
      <c r="I42" t="inlineStr">
        <is>
          <t>7-1356-1056</t>
        </is>
      </c>
    </row>
    <row r="43" ht="30" customHeight="1">
      <c r="A43" s="4" t="inlineStr">
        <is>
          <t>Точки доступа WiFi</t>
        </is>
      </c>
      <c r="B43" s="4" t="inlineStr">
        <is>
          <t>Радиомост Ubiquiti PowerBeam PBE-5AC-Gen2</t>
        </is>
      </c>
      <c r="C43" s="5" t="inlineStr"/>
      <c r="D43" s="5" t="n">
        <v>1957507</v>
      </c>
      <c r="E43" s="5" t="n">
        <v>1747774</v>
      </c>
      <c r="F43" s="5" t="n">
        <v>1613281</v>
      </c>
      <c r="G43" s="5" t="inlineStr">
        <is>
          <t>UniFi UBIQUITI</t>
        </is>
      </c>
      <c r="H43" s="5">
        <f>HYPERLINK("https://itrix.uz/product/1358", "🔗 Купить продукт")</f>
        <v/>
      </c>
      <c r="I43" t="inlineStr">
        <is>
          <t>7-1358-1058</t>
        </is>
      </c>
    </row>
    <row r="44" ht="30" customHeight="1">
      <c r="A44" s="4" t="inlineStr">
        <is>
          <t>Точки доступа WiFi</t>
        </is>
      </c>
      <c r="B44" s="4" t="inlineStr">
        <is>
          <t>Точка доступа MIKROTIK NetBox 5 ax (L11UG-5HaxD-NB)</t>
        </is>
      </c>
      <c r="C44" s="5" t="inlineStr"/>
      <c r="D44" s="5" t="n">
        <v>1772310</v>
      </c>
      <c r="E44" s="5" t="n">
        <v>1582420</v>
      </c>
      <c r="F44" s="5" t="n">
        <v>1460754</v>
      </c>
      <c r="G44" s="5" t="inlineStr">
        <is>
          <t>Mikrotik</t>
        </is>
      </c>
      <c r="H44" s="5">
        <f>HYPERLINK("https://itrix.uz/product/1319", "🔗 Купить продукт")</f>
        <v/>
      </c>
      <c r="I44" t="inlineStr">
        <is>
          <t>7-1319-1020</t>
        </is>
      </c>
    </row>
    <row r="45" ht="30" customHeight="1">
      <c r="A45" s="4" t="inlineStr">
        <is>
          <t>Точки доступа WiFi</t>
        </is>
      </c>
      <c r="B45" s="4" t="inlineStr">
        <is>
          <t>Точка доступа Ubiquiti Rocket 5AC Lite (R5AC-Lite)</t>
        </is>
      </c>
      <c r="C45" s="5" t="inlineStr"/>
      <c r="D45" s="5" t="n">
        <v>2169160</v>
      </c>
      <c r="E45" s="5" t="n">
        <v>1936750</v>
      </c>
      <c r="F45" s="5" t="n">
        <v>1787779</v>
      </c>
      <c r="G45" s="5" t="inlineStr">
        <is>
          <t>UniFi UBIQUITI</t>
        </is>
      </c>
      <c r="H45" s="5">
        <f>HYPERLINK("https://itrix.uz/product/1364", "🔗 Купить продукт")</f>
        <v/>
      </c>
      <c r="I45" t="inlineStr">
        <is>
          <t>7-1364-1064</t>
        </is>
      </c>
    </row>
    <row r="46" ht="30" customHeight="1">
      <c r="A46" s="4" t="inlineStr">
        <is>
          <t>Точки доступа WiFi</t>
        </is>
      </c>
      <c r="B46" s="4" t="inlineStr">
        <is>
          <t>Точка доступа MikroTik RouterBOARD QRT 5 (QRT911G-5HPnD-QRT)</t>
        </is>
      </c>
      <c r="C46" s="5" t="inlineStr"/>
      <c r="D46" s="5" t="n">
        <v>2671694</v>
      </c>
      <c r="E46" s="5" t="n">
        <v>2385441</v>
      </c>
      <c r="F46" s="5" t="n">
        <v>2201926</v>
      </c>
      <c r="G46" s="5" t="inlineStr">
        <is>
          <t>Mikrotik</t>
        </is>
      </c>
      <c r="H46" s="5">
        <f>HYPERLINK("https://itrix.uz/product/1323", "🔗 Купить продукт")</f>
        <v/>
      </c>
      <c r="I46" t="inlineStr">
        <is>
          <t>7-1323-1024</t>
        </is>
      </c>
    </row>
    <row r="47" ht="30" customHeight="1">
      <c r="A47" s="4" t="inlineStr">
        <is>
          <t>Точки доступа WiFi</t>
        </is>
      </c>
      <c r="B47" s="4" t="inlineStr">
        <is>
          <t>Точка доступа Ubiquiti Rocket M2 (2.4 ГГц MIMO AirMax)</t>
        </is>
      </c>
      <c r="C47" s="5" t="inlineStr"/>
      <c r="D47" s="5" t="n">
        <v>1507744</v>
      </c>
      <c r="E47" s="5" t="n">
        <v>1346200</v>
      </c>
      <c r="F47" s="5" t="n">
        <v>1242695</v>
      </c>
      <c r="G47" s="5" t="inlineStr">
        <is>
          <t>UniFi UBIQUITI</t>
        </is>
      </c>
      <c r="H47" s="5">
        <f>HYPERLINK("https://itrix.uz/product/1366", "🔗 Купить продукт")</f>
        <v/>
      </c>
      <c r="I47" t="inlineStr">
        <is>
          <t>7-1366-1066</t>
        </is>
      </c>
    </row>
    <row r="48" ht="30" customHeight="1">
      <c r="A48" s="4" t="inlineStr">
        <is>
          <t>Точки доступа WiFi</t>
        </is>
      </c>
      <c r="B48" s="4" t="inlineStr">
        <is>
          <t>Точка доступа Ubiquiti Rocket Prism 5AC GEN2 (airMAX AC 5 ГГц базовая станция)</t>
        </is>
      </c>
      <c r="C48" s="5" t="inlineStr"/>
      <c r="D48" s="5" t="n">
        <v>3994384</v>
      </c>
      <c r="E48" s="5" t="n">
        <v>3566414</v>
      </c>
      <c r="F48" s="5" t="n">
        <v>3292094</v>
      </c>
      <c r="G48" s="5" t="inlineStr">
        <is>
          <t>UniFi UBIQUITI</t>
        </is>
      </c>
      <c r="H48" s="5">
        <f>HYPERLINK("https://itrix.uz/product/1367", "🔗 Купить продукт")</f>
        <v/>
      </c>
      <c r="I48" t="inlineStr">
        <is>
          <t>7-1367-1067</t>
        </is>
      </c>
    </row>
    <row r="49" ht="30" customHeight="1">
      <c r="A49" s="4" t="inlineStr">
        <is>
          <t>Точки доступа WiFi</t>
        </is>
      </c>
      <c r="B49" s="4" t="inlineStr">
        <is>
          <t>Wi-Fi 6 точка доступа Ubiquiti UniFi U6+ (U6-PLUS)</t>
        </is>
      </c>
      <c r="C49" s="5" t="inlineStr"/>
      <c r="D49" s="5" t="n">
        <v>1719397</v>
      </c>
      <c r="E49" s="5" t="n">
        <v>1535176</v>
      </c>
      <c r="F49" s="5" t="n">
        <v>1417066</v>
      </c>
      <c r="G49" s="5" t="inlineStr">
        <is>
          <t>UniFi UBIQUITI</t>
        </is>
      </c>
      <c r="H49" s="5">
        <f>HYPERLINK("https://itrix.uz/product/1368", "🔗 Купить продукт")</f>
        <v/>
      </c>
      <c r="I49" t="inlineStr">
        <is>
          <t>7-1368-1068</t>
        </is>
      </c>
    </row>
    <row r="50" ht="30" customHeight="1">
      <c r="A50" s="4" t="inlineStr">
        <is>
          <t>Точки доступа WiFi</t>
        </is>
      </c>
      <c r="B50" s="4" t="inlineStr">
        <is>
          <t>Точка доступа Ubiquiti UniFi U6-Mesh-Pro</t>
        </is>
      </c>
      <c r="C50" s="5" t="inlineStr"/>
      <c r="D50" s="5" t="n">
        <v>3385881</v>
      </c>
      <c r="E50" s="5" t="n">
        <v>3023108</v>
      </c>
      <c r="F50" s="5" t="n">
        <v>2790571</v>
      </c>
      <c r="G50" s="5" t="inlineStr">
        <is>
          <t>UniFi UBIQUITI</t>
        </is>
      </c>
      <c r="H50" s="5">
        <f>HYPERLINK("https://itrix.uz/product/1369", "🔗 Купить продукт")</f>
        <v/>
      </c>
      <c r="I50" t="inlineStr">
        <is>
          <t>7-1369-1069</t>
        </is>
      </c>
    </row>
    <row r="51" ht="30" customHeight="1">
      <c r="A51" s="4" t="inlineStr">
        <is>
          <t>Точки доступа WiFi</t>
        </is>
      </c>
      <c r="B51" s="4" t="inlineStr">
        <is>
          <t>Точка доступа Wi-Fi Ubiquiti U7 In-Wall</t>
        </is>
      </c>
      <c r="C51" s="5" t="inlineStr"/>
      <c r="D51" s="5" t="n">
        <v>2830434</v>
      </c>
      <c r="E51" s="5" t="n">
        <v>2527173</v>
      </c>
      <c r="F51" s="5" t="n">
        <v>2332736</v>
      </c>
      <c r="G51" s="5" t="inlineStr">
        <is>
          <t>UniFi UBIQUITI</t>
        </is>
      </c>
      <c r="H51" s="5">
        <f>HYPERLINK("https://itrix.uz/product/1370", "🔗 Купить продукт")</f>
        <v/>
      </c>
      <c r="I51" t="inlineStr">
        <is>
          <t>7-1370-1070</t>
        </is>
      </c>
    </row>
    <row r="52" ht="30" customHeight="1">
      <c r="A52" s="4" t="inlineStr">
        <is>
          <t>Точки доступа WiFi</t>
        </is>
      </c>
      <c r="B52" s="4" t="inlineStr">
        <is>
          <t>Точка доступа MikroTik cAP ac (RBcAPGi-5acD2nD)</t>
        </is>
      </c>
      <c r="C52" s="5" t="inlineStr"/>
      <c r="D52" s="5" t="n">
        <v>1259108</v>
      </c>
      <c r="E52" s="5" t="n">
        <v>1124204</v>
      </c>
      <c r="F52" s="5" t="n">
        <v>1037717</v>
      </c>
      <c r="G52" s="5" t="inlineStr">
        <is>
          <t>Mikrotik</t>
        </is>
      </c>
      <c r="H52" s="5">
        <f>HYPERLINK("https://itrix.uz/product/1329", "🔗 Купить продукт")</f>
        <v/>
      </c>
      <c r="I52" t="inlineStr">
        <is>
          <t>7-1329-1030</t>
        </is>
      </c>
    </row>
    <row r="53" ht="30" customHeight="1">
      <c r="A53" s="4" t="inlineStr">
        <is>
          <t>Точки доступа WiFi</t>
        </is>
      </c>
      <c r="B53" s="4" t="inlineStr">
        <is>
          <t>Точка доступа Wi-Fi Ubiquiti UniFi U7‑Lite</t>
        </is>
      </c>
      <c r="C53" s="5" t="inlineStr"/>
      <c r="D53" s="5" t="n">
        <v>1719397</v>
      </c>
      <c r="E53" s="5" t="n">
        <v>1535176</v>
      </c>
      <c r="F53" s="5" t="n">
        <v>1417066</v>
      </c>
      <c r="G53" s="5" t="inlineStr">
        <is>
          <t>UniFi UBIQUITI</t>
        </is>
      </c>
      <c r="H53" s="5">
        <f>HYPERLINK("https://itrix.uz/product/1371", "🔗 Купить продукт")</f>
        <v/>
      </c>
      <c r="I53" t="inlineStr">
        <is>
          <t>7-1371-1071</t>
        </is>
      </c>
    </row>
    <row r="54" ht="30" customHeight="1">
      <c r="A54" s="4" t="inlineStr">
        <is>
          <t>Точки доступа WiFi</t>
        </is>
      </c>
      <c r="B54" s="4" t="inlineStr">
        <is>
          <t>Беспроводная точка доступа MikroTik SXTsq Lite5 (RBSXTsq5nD)</t>
        </is>
      </c>
      <c r="C54" s="5" t="inlineStr"/>
      <c r="D54" s="5" t="n">
        <v>671942</v>
      </c>
      <c r="E54" s="5" t="n">
        <v>599948</v>
      </c>
      <c r="F54" s="5" t="n">
        <v>553720</v>
      </c>
      <c r="G54" s="5" t="inlineStr">
        <is>
          <t>Mikrotik</t>
        </is>
      </c>
      <c r="H54" s="5">
        <f>HYPERLINK("https://itrix.uz/product/1331", "🔗 Купить продукт")</f>
        <v/>
      </c>
      <c r="I54" t="inlineStr">
        <is>
          <t>7-1331-1032</t>
        </is>
      </c>
    </row>
    <row r="55" ht="30" customHeight="1">
      <c r="A55" s="4" t="inlineStr">
        <is>
          <t>Точки доступа WiFi</t>
        </is>
      </c>
      <c r="B55" s="4" t="inlineStr">
        <is>
          <t>Беспроводная точка доступа MikroTik wAP ac LTE kit (RBwAPGR-5HacD2HnD&amp;R11e-LTE)</t>
        </is>
      </c>
      <c r="C55" s="5" t="inlineStr"/>
      <c r="D55" s="5" t="n">
        <v>2565867</v>
      </c>
      <c r="E55" s="5" t="n">
        <v>2290953</v>
      </c>
      <c r="F55" s="5" t="n">
        <v>2114804</v>
      </c>
      <c r="G55" s="5" t="inlineStr">
        <is>
          <t>Mikrotik</t>
        </is>
      </c>
      <c r="H55" s="5">
        <f>HYPERLINK("https://itrix.uz/product/1332", "🔗 Купить продукт")</f>
        <v/>
      </c>
      <c r="I55" t="inlineStr">
        <is>
          <t>7-1332-1033</t>
        </is>
      </c>
    </row>
    <row r="56" ht="30" customHeight="1">
      <c r="A56" s="4" t="inlineStr">
        <is>
          <t>Точки доступа WiFi</t>
        </is>
      </c>
      <c r="B56" s="4" t="inlineStr">
        <is>
          <t>Точка доступа Wi-Fi Ubiquiti UniFi U7 Long-Range (U7-LR)</t>
        </is>
      </c>
      <c r="C56" s="5" t="inlineStr"/>
      <c r="D56" s="5" t="n">
        <v>2751064</v>
      </c>
      <c r="E56" s="5" t="n">
        <v>2456307</v>
      </c>
      <c r="F56" s="5" t="n">
        <v>2267331</v>
      </c>
      <c r="G56" s="5" t="inlineStr">
        <is>
          <t>UniFi UBIQUITI</t>
        </is>
      </c>
      <c r="H56" s="5">
        <f>HYPERLINK("https://itrix.uz/product/1372", "🔗 Купить продукт")</f>
        <v/>
      </c>
      <c r="I56" t="inlineStr">
        <is>
          <t>7-1372-1072</t>
        </is>
      </c>
    </row>
    <row r="57" ht="30" customHeight="1">
      <c r="A57" s="4" t="inlineStr">
        <is>
          <t>Точки доступа WiFi</t>
        </is>
      </c>
      <c r="B57" s="4" t="inlineStr">
        <is>
          <t>Точка доступа Wi-Fi 7 Ubiquiti U7-Outdoor</t>
        </is>
      </c>
      <c r="C57" s="5" t="inlineStr"/>
      <c r="D57" s="5" t="n">
        <v>3571077</v>
      </c>
      <c r="E57" s="5" t="n">
        <v>3188462</v>
      </c>
      <c r="F57" s="5" t="n">
        <v>2943225</v>
      </c>
      <c r="G57" s="5" t="inlineStr">
        <is>
          <t>UniFi UBIQUITI</t>
        </is>
      </c>
      <c r="H57" s="5">
        <f>HYPERLINK("https://itrix.uz/product/1373", "🔗 Купить продукт")</f>
        <v/>
      </c>
      <c r="I57" t="inlineStr">
        <is>
          <t>7-1373-1073</t>
        </is>
      </c>
    </row>
    <row r="58" ht="30" customHeight="1">
      <c r="A58" s="4" t="inlineStr">
        <is>
          <t>Точки доступа WiFi</t>
        </is>
      </c>
      <c r="B58" s="4" t="inlineStr">
        <is>
          <t>Точка доступа Wi-Fi 7 Ubiquiti UniFi U7 Pro Max</t>
        </is>
      </c>
      <c r="C58" s="5" t="inlineStr"/>
      <c r="D58" s="5" t="n">
        <v>4920224</v>
      </c>
      <c r="E58" s="5" t="n">
        <v>4393057</v>
      </c>
      <c r="F58" s="5" t="n">
        <v>4055110</v>
      </c>
      <c r="G58" s="5" t="inlineStr">
        <is>
          <t>UniFi UBIQUITI</t>
        </is>
      </c>
      <c r="H58" s="5">
        <f>HYPERLINK("https://itrix.uz/product/1374", "🔗 Купить продукт")</f>
        <v/>
      </c>
      <c r="I58" t="inlineStr">
        <is>
          <t>7-1374-1074</t>
        </is>
      </c>
    </row>
    <row r="59" ht="30" customHeight="1">
      <c r="A59" s="4" t="inlineStr">
        <is>
          <t>Точки доступа WiFi</t>
        </is>
      </c>
      <c r="B59" s="4" t="inlineStr">
        <is>
          <t>Точка доступа Ubiquiti UniFi U7 Pro Outdoor</t>
        </is>
      </c>
      <c r="C59" s="5" t="inlineStr"/>
      <c r="D59" s="5" t="n">
        <v>5131877</v>
      </c>
      <c r="E59" s="5" t="n">
        <v>4582033</v>
      </c>
      <c r="F59" s="5" t="n">
        <v>4229481</v>
      </c>
      <c r="G59" s="5" t="inlineStr">
        <is>
          <t>UniFi UBIQUITI</t>
        </is>
      </c>
      <c r="H59" s="5">
        <f>HYPERLINK("https://itrix.uz/product/1375", "🔗 Купить продукт")</f>
        <v/>
      </c>
      <c r="I59" t="inlineStr">
        <is>
          <t>7-1375-1075</t>
        </is>
      </c>
    </row>
    <row r="60" ht="30" customHeight="1">
      <c r="A60" s="4" t="inlineStr">
        <is>
          <t>Точки доступа WiFi</t>
        </is>
      </c>
      <c r="B60" s="4" t="inlineStr">
        <is>
          <t>Точка доступа Ubiquiti U7 Pro Wall</t>
        </is>
      </c>
      <c r="C60" s="5" t="inlineStr"/>
      <c r="D60" s="5" t="n">
        <v>3518164</v>
      </c>
      <c r="E60" s="5" t="n">
        <v>3141218</v>
      </c>
      <c r="F60" s="5" t="n">
        <v>2899664</v>
      </c>
      <c r="G60" s="5" t="inlineStr">
        <is>
          <t>UniFi UBIQUITI</t>
        </is>
      </c>
      <c r="H60" s="5">
        <f>HYPERLINK("https://itrix.uz/product/1376", "🔗 Купить продукт")</f>
        <v/>
      </c>
      <c r="I60" t="inlineStr">
        <is>
          <t>7-1376-1076</t>
        </is>
      </c>
    </row>
    <row r="61" ht="30" customHeight="1">
      <c r="A61" s="4" t="inlineStr">
        <is>
          <t>Точки доступа WiFi</t>
        </is>
      </c>
      <c r="B61" s="4" t="inlineStr">
        <is>
          <t>Точка доступа Ubiquiti UniFi U7 Pro XG</t>
        </is>
      </c>
      <c r="C61" s="5" t="inlineStr"/>
      <c r="D61" s="5" t="n">
        <v>3676904</v>
      </c>
      <c r="E61" s="5" t="n">
        <v>3282950</v>
      </c>
      <c r="F61" s="5" t="n">
        <v>3030474</v>
      </c>
      <c r="G61" s="5" t="inlineStr">
        <is>
          <t>UniFi UBIQUITI</t>
        </is>
      </c>
      <c r="H61" s="5">
        <f>HYPERLINK("https://itrix.uz/product/1377", "🔗 Купить продукт")</f>
        <v/>
      </c>
      <c r="I61" t="inlineStr">
        <is>
          <t>7-1377-1077</t>
        </is>
      </c>
    </row>
    <row r="62" ht="30" customHeight="1">
      <c r="A62" s="4" t="inlineStr">
        <is>
          <t>Точки доступа WiFi</t>
        </is>
      </c>
      <c r="B62" s="4" t="inlineStr">
        <is>
          <t>WiFi точка доступа Cisco C9115AXI-I</t>
        </is>
      </c>
      <c r="C62" s="5" t="inlineStr"/>
      <c r="D62" s="5" t="n">
        <v>23793907</v>
      </c>
      <c r="E62" s="5" t="n">
        <v>21244560</v>
      </c>
      <c r="F62" s="5" t="inlineStr"/>
      <c r="G62" s="5" t="inlineStr">
        <is>
          <t>Cisco</t>
        </is>
      </c>
      <c r="H62" s="5">
        <f>HYPERLINK("https://itrix.uz/product/1173", "🔗 Купить продукт")</f>
        <v/>
      </c>
      <c r="I62" t="inlineStr">
        <is>
          <t>7-1173-903</t>
        </is>
      </c>
    </row>
    <row r="63" ht="30" customHeight="1">
      <c r="A63" s="4" t="inlineStr">
        <is>
          <t>Точки доступа WiFi</t>
        </is>
      </c>
      <c r="B63" s="4" t="inlineStr">
        <is>
          <t xml:space="preserve">Точка доступа Wi-Fi  Grandstream 7660E  </t>
        </is>
      </c>
      <c r="C63" s="5" t="inlineStr"/>
      <c r="D63" s="5" t="n">
        <v>1519123</v>
      </c>
      <c r="E63" s="5" t="n">
        <v>1356360</v>
      </c>
      <c r="F63" s="5" t="inlineStr"/>
      <c r="G63" s="5" t="inlineStr">
        <is>
          <t>Grandstream</t>
        </is>
      </c>
      <c r="H63" s="5">
        <f>HYPERLINK("https://itrix.uz/product/949", "🔗 Купить продукт")</f>
        <v/>
      </c>
      <c r="I63" t="inlineStr">
        <is>
          <t>7-949-838</t>
        </is>
      </c>
    </row>
    <row r="64" ht="30" customHeight="1">
      <c r="A64" s="4" t="inlineStr">
        <is>
          <t>Точки доступа WiFi</t>
        </is>
      </c>
      <c r="B64" s="4" t="inlineStr">
        <is>
          <t>Точка доступа Cisco Catalyst C9120AXI-I</t>
        </is>
      </c>
      <c r="C64" s="5" t="inlineStr"/>
      <c r="D64" s="5" t="n">
        <v>38091872</v>
      </c>
      <c r="E64" s="5" t="n">
        <v>34010600</v>
      </c>
      <c r="F64" s="5" t="inlineStr"/>
      <c r="G64" s="5" t="inlineStr">
        <is>
          <t>Cisco</t>
        </is>
      </c>
      <c r="H64" s="5">
        <f>HYPERLINK("https://itrix.uz/product/1253", "🔗 Купить продукт")</f>
        <v/>
      </c>
      <c r="I64" t="inlineStr">
        <is>
          <t>7-1253-964</t>
        </is>
      </c>
    </row>
    <row r="65" ht="30" customHeight="1">
      <c r="A65" s="4" t="inlineStr">
        <is>
          <t>Точки доступа WiFi</t>
        </is>
      </c>
      <c r="B65" s="4" t="inlineStr">
        <is>
          <t>Точка доступа Wi-Fi Ubiquiti UniFi E7</t>
        </is>
      </c>
      <c r="C65" s="5" t="inlineStr"/>
      <c r="D65" s="5" t="n">
        <v>9205488</v>
      </c>
      <c r="E65" s="5" t="n">
        <v>8219186</v>
      </c>
      <c r="F65" s="5" t="n">
        <v>7586980</v>
      </c>
      <c r="G65" s="5" t="inlineStr">
        <is>
          <t>UniFi UBIQUITI</t>
        </is>
      </c>
      <c r="H65" s="5">
        <f>HYPERLINK("https://itrix.uz/product/1342", "🔗 Купить продукт")</f>
        <v/>
      </c>
      <c r="I65" t="inlineStr">
        <is>
          <t>7-1342-1043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9904CB"/>
    <outlinePr summaryBelow="1" summaryRight="1"/>
    <pageSetUpPr/>
  </sheetPr>
  <dimension ref="A1:I4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Умный дом</t>
        </is>
      </c>
      <c r="B2" s="4" t="inlineStr">
        <is>
          <t>Электромеханический дверной замок Ubiquiti Electric Lock (UACC-Lock-Strike-Secure-15mm)</t>
        </is>
      </c>
      <c r="C2" s="5" t="inlineStr"/>
      <c r="D2" s="5" t="n">
        <v>1560657</v>
      </c>
      <c r="E2" s="5" t="n">
        <v>1393444</v>
      </c>
      <c r="F2" s="5" t="n">
        <v>1286256</v>
      </c>
      <c r="G2" s="5" t="inlineStr">
        <is>
          <t>UniFi UBIQUITI</t>
        </is>
      </c>
      <c r="H2" s="5">
        <f>HYPERLINK("https://itrix.uz/product/1382", "🔗 Купить продукт")</f>
        <v/>
      </c>
      <c r="I2" t="inlineStr">
        <is>
          <t>56-1382-1082</t>
        </is>
      </c>
    </row>
    <row r="3" ht="30" customHeight="1">
      <c r="A3" s="4" t="inlineStr">
        <is>
          <t>Умный дом</t>
        </is>
      </c>
      <c r="B3" s="4" t="inlineStr">
        <is>
          <t>Управление доступом Ubiquiti UA Access Intercom Viewer</t>
        </is>
      </c>
      <c r="C3" s="5" t="inlineStr"/>
      <c r="D3" s="5" t="n">
        <v>2989174</v>
      </c>
      <c r="E3" s="5" t="n">
        <v>2668905</v>
      </c>
      <c r="F3" s="5" t="n">
        <v>2463546</v>
      </c>
      <c r="G3" s="5" t="inlineStr">
        <is>
          <t>UniFi UBIQUITI</t>
        </is>
      </c>
      <c r="H3" s="5">
        <f>HYPERLINK("https://itrix.uz/product/1393", "🔗 Купить продукт")</f>
        <v/>
      </c>
      <c r="I3" t="inlineStr">
        <is>
          <t>56-1393-1093</t>
        </is>
      </c>
    </row>
    <row r="4" ht="30" customHeight="1">
      <c r="A4" s="4" t="inlineStr">
        <is>
          <t>Умный дом</t>
        </is>
      </c>
      <c r="B4" s="4" t="inlineStr">
        <is>
          <t>Система защиты доступа Ubiquiti UA-G3-SK-Pro</t>
        </is>
      </c>
      <c r="C4" s="5" t="inlineStr"/>
      <c r="D4" s="5" t="n">
        <v>12697338</v>
      </c>
      <c r="E4" s="5" t="n">
        <v>11336909</v>
      </c>
      <c r="F4" s="5" t="n">
        <v>10464800</v>
      </c>
      <c r="G4" s="5" t="inlineStr">
        <is>
          <t>UniFi UBIQUITI</t>
        </is>
      </c>
      <c r="H4" s="5">
        <f>HYPERLINK("https://itrix.uz/product/1392", "🔗 Купить продукт")</f>
        <v/>
      </c>
      <c r="I4" t="inlineStr">
        <is>
          <t>56-1392-1092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tabColor rgb="00D0911B"/>
    <outlinePr summaryBelow="1" summaryRight="1"/>
    <pageSetUpPr/>
  </sheetPr>
  <dimension ref="A1:I87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IP-Телефоны</t>
        </is>
      </c>
      <c r="B2" s="4" t="inlineStr">
        <is>
          <t>IP телефон Ubiquiti UniFi G3 Touch Pro</t>
        </is>
      </c>
      <c r="C2" s="5" t="inlineStr"/>
      <c r="D2" s="5" t="n">
        <v>4285407</v>
      </c>
      <c r="E2" s="5" t="n">
        <v>3826256</v>
      </c>
      <c r="F2" s="5" t="n">
        <v>3531870</v>
      </c>
      <c r="G2" s="5" t="inlineStr">
        <is>
          <t>UniFi UBIQUITI</t>
        </is>
      </c>
      <c r="H2" s="5">
        <f>HYPERLINK("https://itrix.uz/product/1440", "🔗 Купить продукт")</f>
        <v/>
      </c>
      <c r="I2" t="inlineStr">
        <is>
          <t>6-1440-1140</t>
        </is>
      </c>
    </row>
    <row r="3" ht="30" customHeight="1">
      <c r="A3" s="4" t="inlineStr">
        <is>
          <t>IP-Телефоны</t>
        </is>
      </c>
      <c r="B3" s="4" t="inlineStr">
        <is>
          <t xml:space="preserve">IP телефон Grandstream GXP2170 </t>
        </is>
      </c>
      <c r="C3" s="5" t="inlineStr"/>
      <c r="D3" s="5" t="n">
        <v>2850490</v>
      </c>
      <c r="E3" s="5" t="n">
        <v>2545080</v>
      </c>
      <c r="F3" s="5" t="inlineStr"/>
      <c r="G3" s="5" t="inlineStr">
        <is>
          <t>Grandstream</t>
        </is>
      </c>
      <c r="H3" s="5">
        <f>HYPERLINK("https://itrix.uz/product/17", "🔗 Купить продукт")</f>
        <v/>
      </c>
      <c r="I3" t="inlineStr">
        <is>
          <t>6-17-16</t>
        </is>
      </c>
    </row>
    <row r="4" ht="30" customHeight="1">
      <c r="A4" s="4" t="inlineStr">
        <is>
          <t>IP-АТС</t>
        </is>
      </c>
      <c r="B4" s="4" t="inlineStr">
        <is>
          <t xml:space="preserve">ІР АТС Grandstream UCM6301 </t>
        </is>
      </c>
      <c r="C4" s="5" t="inlineStr"/>
      <c r="D4" s="5" t="n">
        <v>6673901</v>
      </c>
      <c r="E4" s="5" t="n">
        <v>5958840</v>
      </c>
      <c r="F4" s="5" t="inlineStr"/>
      <c r="G4" s="5" t="inlineStr">
        <is>
          <t>Grandstream</t>
        </is>
      </c>
      <c r="H4" s="5">
        <f>HYPERLINK("https://itrix.uz/product/25", "🔗 Купить продукт")</f>
        <v/>
      </c>
      <c r="I4" t="inlineStr">
        <is>
          <t>6-25-24</t>
        </is>
      </c>
    </row>
    <row r="5" ht="30" customHeight="1">
      <c r="A5" s="4" t="inlineStr">
        <is>
          <t>IP-Телефоны</t>
        </is>
      </c>
      <c r="B5" s="4" t="inlineStr">
        <is>
          <t>IP телефон Grandstream GRP2602G – профессиональный VoIP-телефон</t>
        </is>
      </c>
      <c r="C5" s="5" t="inlineStr"/>
      <c r="D5" s="5" t="n">
        <v>955853</v>
      </c>
      <c r="E5" s="5" t="n">
        <v>853440</v>
      </c>
      <c r="F5" s="5" t="inlineStr"/>
      <c r="G5" s="5" t="inlineStr">
        <is>
          <t>Grandstream</t>
        </is>
      </c>
      <c r="H5" s="5">
        <f>HYPERLINK("https://itrix.uz/product/927", "🔗 Купить продукт")</f>
        <v/>
      </c>
      <c r="I5" t="inlineStr">
        <is>
          <t>6-927-817</t>
        </is>
      </c>
    </row>
    <row r="6" ht="30" customHeight="1">
      <c r="A6" s="4" t="inlineStr">
        <is>
          <t>IP-Телефоны</t>
        </is>
      </c>
      <c r="B6" s="4" t="inlineStr">
        <is>
          <t xml:space="preserve">WiFi телефон Grandstream WP820 </t>
        </is>
      </c>
      <c r="C6" s="5" t="inlineStr"/>
      <c r="D6" s="5" t="n">
        <v>2782214</v>
      </c>
      <c r="E6" s="5" t="n">
        <v>2484120</v>
      </c>
      <c r="F6" s="5" t="inlineStr"/>
      <c r="G6" s="5" t="inlineStr">
        <is>
          <t>Grandstream</t>
        </is>
      </c>
      <c r="H6" s="5">
        <f>HYPERLINK("https://itrix.uz/product/24", "🔗 Купить продукт")</f>
        <v/>
      </c>
      <c r="I6" t="inlineStr">
        <is>
          <t>6-24-23</t>
        </is>
      </c>
    </row>
    <row r="7" ht="30" customHeight="1">
      <c r="A7" s="4" t="inlineStr">
        <is>
          <t>IP-Телефоны</t>
        </is>
      </c>
      <c r="B7" s="4" t="inlineStr">
        <is>
          <t>IP телефон Yealink SIP-T30P</t>
        </is>
      </c>
      <c r="C7" s="5" t="inlineStr"/>
      <c r="D7" s="5" t="n">
        <v>712338</v>
      </c>
      <c r="E7" s="5" t="n">
        <v>636016</v>
      </c>
      <c r="F7" s="5" t="n">
        <v>594360</v>
      </c>
      <c r="G7" s="5" t="inlineStr">
        <is>
          <t>Yealink</t>
        </is>
      </c>
      <c r="H7" s="5">
        <f>HYPERLINK("https://itrix.uz/product/317", "🔗 Купить продукт")</f>
        <v/>
      </c>
      <c r="I7" t="inlineStr">
        <is>
          <t>6-317-319</t>
        </is>
      </c>
    </row>
    <row r="8" ht="30" customHeight="1">
      <c r="A8" s="4" t="inlineStr">
        <is>
          <t>IP-АТС</t>
        </is>
      </c>
      <c r="B8" s="4" t="inlineStr">
        <is>
          <t xml:space="preserve">Голосовой шлюз Grandstream GXW4224 </t>
        </is>
      </c>
      <c r="C8" s="5" t="inlineStr"/>
      <c r="D8" s="5" t="n">
        <v>11384890</v>
      </c>
      <c r="E8" s="5" t="n">
        <v>10165080</v>
      </c>
      <c r="F8" s="5" t="inlineStr"/>
      <c r="G8" s="5" t="inlineStr">
        <is>
          <t>Grandstream</t>
        </is>
      </c>
      <c r="H8" s="5">
        <f>HYPERLINK("https://itrix.uz/product/30", "🔗 Купить продукт")</f>
        <v/>
      </c>
      <c r="I8" t="inlineStr">
        <is>
          <t>6-30-29</t>
        </is>
      </c>
    </row>
    <row r="9" ht="30" customHeight="1">
      <c r="A9" s="4" t="inlineStr">
        <is>
          <t>IP-Телефоны</t>
        </is>
      </c>
      <c r="B9" s="4" t="inlineStr">
        <is>
          <t>IP телефон Yealink SIP-T31W</t>
        </is>
      </c>
      <c r="C9" s="5" t="inlineStr"/>
      <c r="D9" s="5" t="n">
        <v>927689</v>
      </c>
      <c r="E9" s="5" t="n">
        <v>828294</v>
      </c>
      <c r="F9" s="5" t="n">
        <v>774065</v>
      </c>
      <c r="G9" s="5" t="inlineStr">
        <is>
          <t>Yealink</t>
        </is>
      </c>
      <c r="H9" s="5">
        <f>HYPERLINK("https://itrix.uz/product/318", "🔗 Купить продукт")</f>
        <v/>
      </c>
      <c r="I9" t="inlineStr">
        <is>
          <t>6-318-320</t>
        </is>
      </c>
    </row>
    <row r="10" ht="30" customHeight="1">
      <c r="A10" s="4" t="inlineStr">
        <is>
          <t>IP-Телефоны</t>
        </is>
      </c>
      <c r="B10" s="4" t="inlineStr">
        <is>
          <t>IP телефон Yealink SIP-T46U</t>
        </is>
      </c>
      <c r="C10" s="5" t="inlineStr"/>
      <c r="D10" s="5" t="n">
        <v>3243072</v>
      </c>
      <c r="E10" s="5" t="n">
        <v>2895600</v>
      </c>
      <c r="F10" s="5" t="inlineStr"/>
      <c r="G10" s="5" t="inlineStr">
        <is>
          <t>Yealink</t>
        </is>
      </c>
      <c r="H10" s="5">
        <f>HYPERLINK("https://itrix.uz/product/322", "🔗 Купить продукт")</f>
        <v/>
      </c>
      <c r="I10" t="inlineStr">
        <is>
          <t>6-322-324</t>
        </is>
      </c>
    </row>
    <row r="11" ht="30" customHeight="1">
      <c r="A11" s="4" t="inlineStr">
        <is>
          <t>IP-Телефоны</t>
        </is>
      </c>
      <c r="B11" s="4" t="inlineStr">
        <is>
          <t>IP телефон Yealink SIP-T33P</t>
        </is>
      </c>
      <c r="C11" s="5" t="inlineStr"/>
      <c r="D11" s="5" t="n">
        <v>1180592</v>
      </c>
      <c r="E11" s="5" t="n">
        <v>1054100</v>
      </c>
      <c r="F11" s="5" t="inlineStr"/>
      <c r="G11" s="5" t="inlineStr">
        <is>
          <t>Yealink</t>
        </is>
      </c>
      <c r="H11" s="5">
        <f>HYPERLINK("https://itrix.uz/product/323", "🔗 Купить продукт")</f>
        <v/>
      </c>
      <c r="I11" t="inlineStr">
        <is>
          <t>6-323-325</t>
        </is>
      </c>
    </row>
    <row r="12" ht="30" customHeight="1">
      <c r="A12" s="4" t="inlineStr">
        <is>
          <t>IP-Телефоны</t>
        </is>
      </c>
      <c r="B12" s="4" t="inlineStr">
        <is>
          <t>IP телефон Yealink SIP-T48U</t>
        </is>
      </c>
      <c r="C12" s="5" t="inlineStr"/>
      <c r="D12" s="5" t="n">
        <v>4267200</v>
      </c>
      <c r="E12" s="5" t="n">
        <v>3810000</v>
      </c>
      <c r="F12" s="5" t="inlineStr"/>
      <c r="G12" s="5" t="inlineStr">
        <is>
          <t>Yealink</t>
        </is>
      </c>
      <c r="H12" s="5">
        <f>HYPERLINK("https://itrix.uz/product/324", "🔗 Купить продукт")</f>
        <v/>
      </c>
      <c r="I12" t="inlineStr">
        <is>
          <t>6-324-326</t>
        </is>
      </c>
    </row>
    <row r="13" ht="30" customHeight="1">
      <c r="A13" s="4" t="inlineStr">
        <is>
          <t>IP-Телефоны</t>
        </is>
      </c>
      <c r="B13" s="4" t="inlineStr">
        <is>
          <t xml:space="preserve">WiFi телефон Grandstream WP810 </t>
        </is>
      </c>
      <c r="C13" s="5" t="inlineStr"/>
      <c r="D13" s="5" t="n">
        <v>1834896</v>
      </c>
      <c r="E13" s="5" t="n">
        <v>1638300</v>
      </c>
      <c r="F13" s="5" t="inlineStr"/>
      <c r="G13" s="5" t="inlineStr">
        <is>
          <t>Grandstream</t>
        </is>
      </c>
      <c r="H13" s="5">
        <f>HYPERLINK("https://itrix.uz/product/23", "🔗 Купить продукт")</f>
        <v/>
      </c>
      <c r="I13" t="inlineStr">
        <is>
          <t>6-23-22</t>
        </is>
      </c>
    </row>
    <row r="14" ht="30" customHeight="1">
      <c r="A14" s="4" t="inlineStr">
        <is>
          <t>IP-Телефоны</t>
        </is>
      </c>
      <c r="B14" s="4" t="inlineStr">
        <is>
          <t>IP телефон Yealink SIP-T58W</t>
        </is>
      </c>
      <c r="C14" s="5" t="inlineStr"/>
      <c r="D14" s="5" t="n">
        <v>6159988</v>
      </c>
      <c r="E14" s="5" t="n">
        <v>5499989</v>
      </c>
      <c r="F14" s="5" t="n">
        <v>4730750</v>
      </c>
      <c r="G14" s="5" t="inlineStr">
        <is>
          <t>Yealink</t>
        </is>
      </c>
      <c r="H14" s="5">
        <f>HYPERLINK("https://itrix.uz/product/327", "🔗 Купить продукт")</f>
        <v/>
      </c>
      <c r="I14" t="inlineStr">
        <is>
          <t>6-327-329</t>
        </is>
      </c>
    </row>
    <row r="15" ht="30" customHeight="1">
      <c r="A15" s="4" t="inlineStr">
        <is>
          <t>IP-Телефоны</t>
        </is>
      </c>
      <c r="B15" s="4" t="inlineStr">
        <is>
          <t>IP видеотелефон Yealink VP59</t>
        </is>
      </c>
      <c r="C15" s="5" t="inlineStr"/>
      <c r="D15" s="5" t="n">
        <v>11763248</v>
      </c>
      <c r="E15" s="5" t="n">
        <v>10502900</v>
      </c>
      <c r="F15" s="5" t="inlineStr"/>
      <c r="G15" s="5" t="inlineStr">
        <is>
          <t>Yealink</t>
        </is>
      </c>
      <c r="H15" s="5">
        <f>HYPERLINK("https://itrix.uz/product/329", "🔗 Купить продукт")</f>
        <v/>
      </c>
      <c r="I15" t="inlineStr">
        <is>
          <t>6-329-331</t>
        </is>
      </c>
    </row>
    <row r="16" ht="30" customHeight="1">
      <c r="A16" s="4" t="inlineStr">
        <is>
          <t>IP-АТС</t>
        </is>
      </c>
      <c r="B16" s="4" t="inlineStr">
        <is>
          <t xml:space="preserve">IP-АТС Grandstream UCM6510 </t>
        </is>
      </c>
      <c r="C16" s="5" t="inlineStr"/>
      <c r="D16" s="5" t="n">
        <v>14764512</v>
      </c>
      <c r="E16" s="5" t="n">
        <v>13182600</v>
      </c>
      <c r="F16" s="5" t="inlineStr"/>
      <c r="G16" s="5" t="inlineStr">
        <is>
          <t>Grandstream</t>
        </is>
      </c>
      <c r="H16" s="5">
        <f>HYPERLINK("https://itrix.uz/product/29", "🔗 Купить продукт")</f>
        <v/>
      </c>
      <c r="I16" t="inlineStr">
        <is>
          <t>6-29-28</t>
        </is>
      </c>
    </row>
    <row r="17" ht="30" customHeight="1">
      <c r="A17" s="4" t="inlineStr">
        <is>
          <t>IP-Телефоны</t>
        </is>
      </c>
      <c r="B17" s="4" t="inlineStr">
        <is>
          <t>Модуль расширения Yealink EXP40</t>
        </is>
      </c>
      <c r="C17" s="5" t="inlineStr"/>
      <c r="D17" s="5" t="n">
        <v>2090928</v>
      </c>
      <c r="E17" s="5" t="n">
        <v>1866900</v>
      </c>
      <c r="F17" s="5" t="inlineStr"/>
      <c r="G17" s="5" t="inlineStr">
        <is>
          <t>Yealink</t>
        </is>
      </c>
      <c r="H17" s="5">
        <f>HYPERLINK("https://itrix.uz/product/330", "🔗 Купить продукт")</f>
        <v/>
      </c>
      <c r="I17" t="inlineStr">
        <is>
          <t>6-330-332</t>
        </is>
      </c>
    </row>
    <row r="18" ht="30" customHeight="1">
      <c r="A18" s="4" t="inlineStr">
        <is>
          <t>IP-Телефоны</t>
        </is>
      </c>
      <c r="B18" s="4" t="inlineStr">
        <is>
          <t>Модуль расширения Yealink EXP43</t>
        </is>
      </c>
      <c r="C18" s="5" t="inlineStr"/>
      <c r="D18" s="5" t="n">
        <v>1763776</v>
      </c>
      <c r="E18" s="5" t="n">
        <v>1574800</v>
      </c>
      <c r="F18" s="5" t="inlineStr"/>
      <c r="G18" s="5" t="inlineStr">
        <is>
          <t>Yealink</t>
        </is>
      </c>
      <c r="H18" s="5">
        <f>HYPERLINK("https://itrix.uz/product/331", "🔗 Купить продукт")</f>
        <v/>
      </c>
      <c r="I18" t="inlineStr">
        <is>
          <t>6-331-333</t>
        </is>
      </c>
    </row>
    <row r="19" ht="30" customHeight="1">
      <c r="A19" s="4" t="inlineStr">
        <is>
          <t>IP-Телефоны</t>
        </is>
      </c>
      <c r="B19" s="4" t="inlineStr">
        <is>
          <t xml:space="preserve">IP телефон Grandstream GXP2160 </t>
        </is>
      </c>
      <c r="C19" s="5" t="inlineStr"/>
      <c r="D19" s="5" t="n">
        <v>2850490</v>
      </c>
      <c r="E19" s="5" t="n">
        <v>2545080</v>
      </c>
      <c r="F19" s="5" t="inlineStr"/>
      <c r="G19" s="5" t="inlineStr">
        <is>
          <t>Grandstream</t>
        </is>
      </c>
      <c r="H19" s="5">
        <f>HYPERLINK("https://itrix.uz/product/16", "🔗 Купить продукт")</f>
        <v/>
      </c>
      <c r="I19" t="inlineStr">
        <is>
          <t>6-16-15</t>
        </is>
      </c>
    </row>
    <row r="20" ht="30" customHeight="1">
      <c r="A20" s="4" t="inlineStr">
        <is>
          <t>IP-Телефоны</t>
        </is>
      </c>
      <c r="B20" s="4" t="inlineStr">
        <is>
          <t xml:space="preserve">DECT-трубка Grandstream DP722 </t>
        </is>
      </c>
      <c r="C20" s="5" t="inlineStr"/>
      <c r="D20" s="5" t="n">
        <v>1180592</v>
      </c>
      <c r="E20" s="5" t="n">
        <v>1054100</v>
      </c>
      <c r="F20" s="5" t="inlineStr"/>
      <c r="G20" s="5" t="inlineStr">
        <is>
          <t>Grandstream</t>
        </is>
      </c>
      <c r="H20" s="5">
        <f>HYPERLINK("https://itrix.uz/product/19", "🔗 Купить продукт")</f>
        <v/>
      </c>
      <c r="I20" t="inlineStr">
        <is>
          <t>6-19-18</t>
        </is>
      </c>
    </row>
    <row r="21" ht="30" customHeight="1">
      <c r="A21" s="4" t="inlineStr">
        <is>
          <t>IP-Телефоны</t>
        </is>
      </c>
      <c r="B21" s="4" t="inlineStr">
        <is>
          <t>Модуль расширения Yealink EXP50</t>
        </is>
      </c>
      <c r="C21" s="5" t="inlineStr"/>
      <c r="D21" s="5" t="n">
        <v>2035597</v>
      </c>
      <c r="E21" s="5" t="n">
        <v>1817497</v>
      </c>
      <c r="F21" s="5" t="n">
        <v>1698625</v>
      </c>
      <c r="G21" s="5" t="inlineStr">
        <is>
          <t>Yealink</t>
        </is>
      </c>
      <c r="H21" s="5">
        <f>HYPERLINK("https://itrix.uz/product/332", "🔗 Купить продукт")</f>
        <v/>
      </c>
      <c r="I21" t="inlineStr">
        <is>
          <t>6-332-334</t>
        </is>
      </c>
    </row>
    <row r="22" ht="30" customHeight="1">
      <c r="A22" s="4" t="inlineStr">
        <is>
          <t>IP-Телефоны</t>
        </is>
      </c>
      <c r="B22" s="4" t="inlineStr">
        <is>
          <t xml:space="preserve">DECT-трубка Grandstream DP730 </t>
        </is>
      </c>
      <c r="C22" s="5" t="inlineStr"/>
      <c r="D22" s="5" t="n">
        <v>1308608</v>
      </c>
      <c r="E22" s="5" t="n">
        <v>1168400</v>
      </c>
      <c r="F22" s="5" t="inlineStr"/>
      <c r="G22" s="5" t="inlineStr">
        <is>
          <t>Grandstream</t>
        </is>
      </c>
      <c r="H22" s="5">
        <f>HYPERLINK("https://itrix.uz/product/20", "🔗 Купить продукт")</f>
        <v/>
      </c>
      <c r="I22" t="inlineStr">
        <is>
          <t>6-20-19</t>
        </is>
      </c>
    </row>
    <row r="23" ht="30" customHeight="1">
      <c r="A23" s="4" t="inlineStr">
        <is>
          <t>IP-Телефоны</t>
        </is>
      </c>
      <c r="B23" s="4" t="inlineStr">
        <is>
          <t xml:space="preserve">IP видеотелефон Grandstream GXV3350 </t>
        </is>
      </c>
      <c r="C23" s="5" t="inlineStr"/>
      <c r="D23" s="5" t="n">
        <v>3766942</v>
      </c>
      <c r="E23" s="5" t="n">
        <v>3363341</v>
      </c>
      <c r="F23" s="5" t="n">
        <v>3143250</v>
      </c>
      <c r="G23" s="5" t="inlineStr">
        <is>
          <t>Grandstream</t>
        </is>
      </c>
      <c r="H23" s="5">
        <f>HYPERLINK("https://itrix.uz/product/22", "🔗 Купить продукт")</f>
        <v/>
      </c>
      <c r="I23" t="inlineStr">
        <is>
          <t>6-22-21</t>
        </is>
      </c>
    </row>
    <row r="24" ht="30" customHeight="1">
      <c r="A24" s="4" t="inlineStr">
        <is>
          <t>IP-АТС</t>
        </is>
      </c>
      <c r="B24" s="4" t="inlineStr">
        <is>
          <t>IP-АТС Grandstream UCM6308</t>
        </is>
      </c>
      <c r="C24" s="5" t="inlineStr"/>
      <c r="D24" s="5" t="n">
        <v>14300383</v>
      </c>
      <c r="E24" s="5" t="n">
        <v>12768199</v>
      </c>
      <c r="F24" s="5" t="n">
        <v>11932920</v>
      </c>
      <c r="G24" s="5" t="inlineStr">
        <is>
          <t>Grandstream</t>
        </is>
      </c>
      <c r="H24" s="5">
        <f>HYPERLINK("https://itrix.uz/product/26", "🔗 Купить продукт")</f>
        <v/>
      </c>
      <c r="I24" t="inlineStr">
        <is>
          <t>6-26-25</t>
        </is>
      </c>
    </row>
    <row r="25" ht="30" customHeight="1">
      <c r="A25" s="4" t="inlineStr">
        <is>
          <t>IP-АТС</t>
        </is>
      </c>
      <c r="B25" s="4" t="inlineStr">
        <is>
          <t>IP-АТС Grandstream UCM6204</t>
        </is>
      </c>
      <c r="C25" s="5" t="inlineStr"/>
      <c r="D25" s="5" t="n">
        <v>6130544</v>
      </c>
      <c r="E25" s="5" t="n">
        <v>5473700</v>
      </c>
      <c r="F25" s="5" t="inlineStr"/>
      <c r="G25" s="5" t="inlineStr">
        <is>
          <t>Grandstream</t>
        </is>
      </c>
      <c r="H25" s="5">
        <f>HYPERLINK("https://itrix.uz/product/27", "🔗 Купить продукт")</f>
        <v/>
      </c>
      <c r="I25" t="inlineStr">
        <is>
          <t>6-27-26</t>
        </is>
      </c>
    </row>
    <row r="26" ht="30" customHeight="1">
      <c r="A26" s="4" t="inlineStr">
        <is>
          <t>IP-Телефоны</t>
        </is>
      </c>
      <c r="B26" s="4" t="inlineStr">
        <is>
          <t>IP телефон Grandstream GAC2570</t>
        </is>
      </c>
      <c r="C26" s="5" t="inlineStr"/>
      <c r="D26" s="5" t="n">
        <v>14320723</v>
      </c>
      <c r="E26" s="5" t="n">
        <v>12786360</v>
      </c>
      <c r="F26" s="5" t="inlineStr"/>
      <c r="G26" s="5" t="inlineStr">
        <is>
          <t>Grandstream</t>
        </is>
      </c>
      <c r="H26" s="5">
        <f>HYPERLINK("https://itrix.uz/product/914", "🔗 Купить продукт")</f>
        <v/>
      </c>
      <c r="I26" t="inlineStr">
        <is>
          <t>6-914-804</t>
        </is>
      </c>
    </row>
    <row r="27" ht="30" customHeight="1">
      <c r="A27" s="4" t="inlineStr">
        <is>
          <t>IP-АТС</t>
        </is>
      </c>
      <c r="B27" s="4" t="inlineStr">
        <is>
          <t xml:space="preserve">IP-АТС Grandstream UCM6208 </t>
        </is>
      </c>
      <c r="C27" s="5" t="inlineStr"/>
      <c r="D27" s="5" t="n">
        <v>9402064</v>
      </c>
      <c r="E27" s="5" t="n">
        <v>8394700</v>
      </c>
      <c r="F27" s="5" t="inlineStr"/>
      <c r="G27" s="5" t="inlineStr">
        <is>
          <t>Grandstream</t>
        </is>
      </c>
      <c r="H27" s="5">
        <f>HYPERLINK("https://itrix.uz/product/28", "🔗 Купить продукт")</f>
        <v/>
      </c>
      <c r="I27" t="inlineStr">
        <is>
          <t>6-28-27</t>
        </is>
      </c>
    </row>
    <row r="28" ht="30" customHeight="1">
      <c r="A28" s="4" t="inlineStr">
        <is>
          <t>IP-Телефоны</t>
        </is>
      </c>
      <c r="B28" s="4" t="inlineStr">
        <is>
          <t>IP телефон Grandstream GXP1630</t>
        </is>
      </c>
      <c r="C28" s="5" t="inlineStr"/>
      <c r="D28" s="5" t="n">
        <v>870509</v>
      </c>
      <c r="E28" s="5" t="n">
        <v>777240</v>
      </c>
      <c r="F28" s="5" t="inlineStr"/>
      <c r="G28" s="5" t="inlineStr">
        <is>
          <t>Grandstream</t>
        </is>
      </c>
      <c r="H28" s="5">
        <f>HYPERLINK("https://itrix.uz/product/1242", "🔗 Купить продукт")</f>
        <v/>
      </c>
      <c r="I28" t="inlineStr">
        <is>
          <t>6-1242-953</t>
        </is>
      </c>
    </row>
    <row r="29" ht="30" customHeight="1">
      <c r="A29" s="4" t="inlineStr">
        <is>
          <t>IP-Телефоны</t>
        </is>
      </c>
      <c r="B29" s="4" t="inlineStr">
        <is>
          <t>IP телефон Yealink SIP-T58W Pro</t>
        </is>
      </c>
      <c r="C29" s="5" t="inlineStr"/>
      <c r="D29" s="5" t="n">
        <v>7914234</v>
      </c>
      <c r="E29" s="5" t="n">
        <v>7066280</v>
      </c>
      <c r="F29" s="5" t="n">
        <v>6604000</v>
      </c>
      <c r="G29" s="5" t="inlineStr">
        <is>
          <t>Yealink</t>
        </is>
      </c>
      <c r="H29" s="5">
        <f>HYPERLINK("https://itrix.uz/product/328", "🔗 Купить продукт")</f>
        <v/>
      </c>
      <c r="I29" t="inlineStr">
        <is>
          <t>6-328-330</t>
        </is>
      </c>
    </row>
    <row r="30" ht="30" customHeight="1">
      <c r="A30" s="4" t="inlineStr">
        <is>
          <t>IP-АТС</t>
        </is>
      </c>
      <c r="B30" s="4" t="inlineStr">
        <is>
          <t xml:space="preserve">Голосовой шлюз Grandstream GXW4232 </t>
        </is>
      </c>
      <c r="C30" s="5" t="inlineStr"/>
      <c r="D30" s="5" t="n">
        <v>9800336</v>
      </c>
      <c r="E30" s="5" t="n">
        <v>8750300</v>
      </c>
      <c r="F30" s="5" t="inlineStr"/>
      <c r="G30" s="5" t="inlineStr">
        <is>
          <t>Grandstream</t>
        </is>
      </c>
      <c r="H30" s="5">
        <f>HYPERLINK("https://itrix.uz/product/31", "🔗 Купить продукт")</f>
        <v/>
      </c>
      <c r="I30" t="inlineStr">
        <is>
          <t>6-31-30</t>
        </is>
      </c>
    </row>
    <row r="31" ht="30" customHeight="1">
      <c r="A31" s="4" t="inlineStr">
        <is>
          <t>IP-Телефоны</t>
        </is>
      </c>
      <c r="B31" s="4" t="inlineStr">
        <is>
          <t>IP телефон Yealink SIP-T34W</t>
        </is>
      </c>
      <c r="C31" s="5" t="inlineStr"/>
      <c r="D31" s="5" t="n">
        <v>1479296</v>
      </c>
      <c r="E31" s="5" t="n">
        <v>1320800</v>
      </c>
      <c r="F31" s="5" t="n">
        <v>1234440</v>
      </c>
      <c r="G31" s="5" t="inlineStr">
        <is>
          <t>Yealink</t>
        </is>
      </c>
      <c r="H31" s="5">
        <f>HYPERLINK("https://itrix.uz/product/319", "🔗 Купить продукт")</f>
        <v/>
      </c>
      <c r="I31" t="inlineStr">
        <is>
          <t>6-319-321</t>
        </is>
      </c>
    </row>
    <row r="32" ht="30" customHeight="1">
      <c r="A32" s="4" t="inlineStr">
        <is>
          <t>IP-Телефоны</t>
        </is>
      </c>
      <c r="B32" s="4" t="inlineStr">
        <is>
          <t>IP телефон Grandstream GRP2602P</t>
        </is>
      </c>
      <c r="C32" s="5" t="inlineStr"/>
      <c r="D32" s="5" t="n">
        <v>870509</v>
      </c>
      <c r="E32" s="5" t="n">
        <v>777240</v>
      </c>
      <c r="F32" s="5" t="inlineStr"/>
      <c r="G32" s="5" t="inlineStr">
        <is>
          <t>Grandstream</t>
        </is>
      </c>
      <c r="H32" s="5">
        <f>HYPERLINK("https://itrix.uz/product/928", "🔗 Купить продукт")</f>
        <v/>
      </c>
      <c r="I32" t="inlineStr">
        <is>
          <t>6-928-818</t>
        </is>
      </c>
    </row>
    <row r="33" ht="30" customHeight="1">
      <c r="A33" s="4" t="inlineStr">
        <is>
          <t>IP-Телефоны</t>
        </is>
      </c>
      <c r="B33" s="4" t="inlineStr">
        <is>
          <t>IP телефон Yealink SIP-T44W</t>
        </is>
      </c>
      <c r="C33" s="5" t="inlineStr"/>
      <c r="D33" s="5" t="n">
        <v>2204720</v>
      </c>
      <c r="E33" s="5" t="n">
        <v>1968500</v>
      </c>
      <c r="F33" s="5" t="inlineStr"/>
      <c r="G33" s="5" t="inlineStr">
        <is>
          <t>Yealink</t>
        </is>
      </c>
      <c r="H33" s="5">
        <f>HYPERLINK("https://itrix.uz/product/320", "🔗 Купить продукт")</f>
        <v/>
      </c>
      <c r="I33" t="inlineStr">
        <is>
          <t>6-320-322</t>
        </is>
      </c>
    </row>
    <row r="34" ht="30" customHeight="1">
      <c r="A34" s="4" t="inlineStr">
        <is>
          <t>IP-Телефоны</t>
        </is>
      </c>
      <c r="B34" s="4" t="inlineStr">
        <is>
          <t>IP телефон Yealink SIP-T53W</t>
        </is>
      </c>
      <c r="C34" s="5" t="inlineStr"/>
      <c r="D34" s="5" t="n">
        <v>3285744</v>
      </c>
      <c r="E34" s="5" t="n">
        <v>2933700</v>
      </c>
      <c r="F34" s="5" t="inlineStr"/>
      <c r="G34" s="5" t="inlineStr">
        <is>
          <t>Yealink</t>
        </is>
      </c>
      <c r="H34" s="5">
        <f>HYPERLINK("https://itrix.uz/product/325", "🔗 Купить продукт")</f>
        <v/>
      </c>
      <c r="I34" t="inlineStr">
        <is>
          <t>6-325-327</t>
        </is>
      </c>
    </row>
    <row r="35" ht="30" customHeight="1">
      <c r="A35" s="4" t="inlineStr">
        <is>
          <t>IP-Телефоны</t>
        </is>
      </c>
      <c r="B35" s="4" t="inlineStr">
        <is>
          <t>IP телефон Grandstream GRP2602W – современный VoIP телефон</t>
        </is>
      </c>
      <c r="C35" s="5" t="inlineStr"/>
      <c r="D35" s="5" t="n">
        <v>1126541</v>
      </c>
      <c r="E35" s="5" t="n">
        <v>1005840</v>
      </c>
      <c r="F35" s="5" t="inlineStr"/>
      <c r="G35" s="5" t="inlineStr">
        <is>
          <t>Grandstream</t>
        </is>
      </c>
      <c r="H35" s="5">
        <f>HYPERLINK("https://itrix.uz/product/929", "🔗 Купить продукт")</f>
        <v/>
      </c>
      <c r="I35" t="inlineStr">
        <is>
          <t>6-929-819</t>
        </is>
      </c>
    </row>
    <row r="36" ht="30" customHeight="1">
      <c r="A36" s="4" t="inlineStr">
        <is>
          <t>IP-Телефоны</t>
        </is>
      </c>
      <c r="B36" s="4" t="inlineStr">
        <is>
          <t>IP-Телефон Grandstream GRP2610P</t>
        </is>
      </c>
      <c r="C36" s="5" t="inlineStr"/>
      <c r="D36" s="5" t="n">
        <v>938784</v>
      </c>
      <c r="E36" s="5" t="n">
        <v>838200</v>
      </c>
      <c r="F36" s="5" t="inlineStr"/>
      <c r="G36" s="5" t="inlineStr">
        <is>
          <t>Grandstream</t>
        </is>
      </c>
      <c r="H36" s="5">
        <f>HYPERLINK("https://itrix.uz/product/930", "🔗 Купить продукт")</f>
        <v/>
      </c>
      <c r="I36" t="inlineStr">
        <is>
          <t>6-930-820</t>
        </is>
      </c>
    </row>
    <row r="37" ht="30" customHeight="1">
      <c r="A37" s="4" t="inlineStr">
        <is>
          <t>IP-Телефоны</t>
        </is>
      </c>
      <c r="B37" s="4" t="inlineStr">
        <is>
          <t>IP телефон Yealink SIP-T54W</t>
        </is>
      </c>
      <c r="C37" s="5" t="inlineStr"/>
      <c r="D37" s="5" t="n">
        <v>4139184</v>
      </c>
      <c r="E37" s="5" t="n">
        <v>3695700</v>
      </c>
      <c r="F37" s="5" t="inlineStr"/>
      <c r="G37" s="5" t="inlineStr">
        <is>
          <t>Yealink</t>
        </is>
      </c>
      <c r="H37" s="5">
        <f>HYPERLINK("https://itrix.uz/product/326", "🔗 Купить продукт")</f>
        <v/>
      </c>
      <c r="I37" t="inlineStr">
        <is>
          <t>6-326-328</t>
        </is>
      </c>
    </row>
    <row r="38" ht="30" customHeight="1">
      <c r="A38" s="4" t="inlineStr">
        <is>
          <t>IP-Телефоны</t>
        </is>
      </c>
      <c r="B38" s="4" t="inlineStr">
        <is>
          <t>IP телефон Grandstream GRP2612 (без PoE)</t>
        </is>
      </c>
      <c r="C38" s="5" t="inlineStr"/>
      <c r="D38" s="5" t="n">
        <v>853440</v>
      </c>
      <c r="E38" s="5" t="n">
        <v>762000</v>
      </c>
      <c r="F38" s="5" t="inlineStr"/>
      <c r="G38" s="5" t="inlineStr">
        <is>
          <t>Grandstream</t>
        </is>
      </c>
      <c r="H38" s="5">
        <f>HYPERLINK("https://itrix.uz/product/14", "🔗 Купить продукт")</f>
        <v/>
      </c>
      <c r="I38" t="inlineStr">
        <is>
          <t>6-14-13</t>
        </is>
      </c>
    </row>
    <row r="39" ht="30" customHeight="1">
      <c r="A39" s="4" t="inlineStr">
        <is>
          <t>IP-Телефоны</t>
        </is>
      </c>
      <c r="B39" s="4" t="inlineStr">
        <is>
          <t>IP телефон Grandstream GRP2611G, операторского класса (3 линии)</t>
        </is>
      </c>
      <c r="C39" s="5" t="inlineStr"/>
      <c r="D39" s="5" t="n">
        <v>1075334</v>
      </c>
      <c r="E39" s="5" t="n">
        <v>960120</v>
      </c>
      <c r="F39" s="5" t="inlineStr"/>
      <c r="G39" s="5" t="inlineStr">
        <is>
          <t>Grandstream</t>
        </is>
      </c>
      <c r="H39" s="5">
        <f>HYPERLINK("https://itrix.uz/product/931", "🔗 Купить продукт")</f>
        <v/>
      </c>
      <c r="I39" t="inlineStr">
        <is>
          <t>6-931-821</t>
        </is>
      </c>
    </row>
    <row r="40" ht="30" customHeight="1">
      <c r="A40" s="4" t="inlineStr">
        <is>
          <t>IP-АТС</t>
        </is>
      </c>
      <c r="B40" s="4" t="inlineStr">
        <is>
          <t>IP ATC Grandstream UCM6304</t>
        </is>
      </c>
      <c r="C40" s="5" t="inlineStr"/>
      <c r="D40" s="5" t="n">
        <v>11424006</v>
      </c>
      <c r="E40" s="5" t="n">
        <v>10200005</v>
      </c>
      <c r="F40" s="5" t="n">
        <v>8636000</v>
      </c>
      <c r="G40" s="5" t="inlineStr">
        <is>
          <t>Grandstream</t>
        </is>
      </c>
      <c r="H40" s="5">
        <f>HYPERLINK("https://itrix.uz/product/598", "🔗 Купить продукт")</f>
        <v/>
      </c>
      <c r="I40" t="inlineStr">
        <is>
          <t>6-598-553</t>
        </is>
      </c>
    </row>
    <row r="41" ht="30" customHeight="1">
      <c r="A41" s="4" t="inlineStr">
        <is>
          <t>IP-Телефоны</t>
        </is>
      </c>
      <c r="B41" s="4" t="inlineStr">
        <is>
          <t>IP телефон Grandstream GRP2615</t>
        </is>
      </c>
      <c r="C41" s="5" t="inlineStr"/>
      <c r="D41" s="5" t="n">
        <v>3345485</v>
      </c>
      <c r="E41" s="5" t="n">
        <v>2987040</v>
      </c>
      <c r="F41" s="5" t="inlineStr"/>
      <c r="G41" s="5" t="inlineStr">
        <is>
          <t>Grandstream</t>
        </is>
      </c>
      <c r="H41" s="5">
        <f>HYPERLINK("https://itrix.uz/product/934", "🔗 Купить продукт")</f>
        <v/>
      </c>
      <c r="I41" t="inlineStr">
        <is>
          <t>6-934-824</t>
        </is>
      </c>
    </row>
    <row r="42" ht="30" customHeight="1">
      <c r="A42" s="4" t="inlineStr">
        <is>
          <t>IP-АТС</t>
        </is>
      </c>
      <c r="B42" s="4" t="inlineStr">
        <is>
          <t xml:space="preserve">IP-АТС - Grandstream GCC6011 </t>
        </is>
      </c>
      <c r="C42" s="5" t="inlineStr"/>
      <c r="D42" s="5" t="n">
        <v>5718048</v>
      </c>
      <c r="E42" s="5" t="n">
        <v>5105400</v>
      </c>
      <c r="F42" s="5" t="inlineStr"/>
      <c r="G42" s="5" t="inlineStr">
        <is>
          <t>Grandstream</t>
        </is>
      </c>
      <c r="H42" s="5">
        <f>HYPERLINK("https://itrix.uz/product/916", "🔗 Купить продукт")</f>
        <v/>
      </c>
      <c r="I42" t="inlineStr">
        <is>
          <t>6-916-806</t>
        </is>
      </c>
    </row>
    <row r="43" ht="30" customHeight="1">
      <c r="A43" s="4" t="inlineStr">
        <is>
          <t>IP-Телефоны</t>
        </is>
      </c>
      <c r="B43" s="4" t="inlineStr">
        <is>
          <t xml:space="preserve">IP телефон Grandstream GRP2616 </t>
        </is>
      </c>
      <c r="C43" s="5" t="inlineStr"/>
      <c r="D43" s="5" t="n">
        <v>3618586</v>
      </c>
      <c r="E43" s="5" t="n">
        <v>3230880</v>
      </c>
      <c r="F43" s="5" t="inlineStr"/>
      <c r="G43" s="5" t="inlineStr">
        <is>
          <t>Grandstream</t>
        </is>
      </c>
      <c r="H43" s="5">
        <f>HYPERLINK("https://itrix.uz/product/935", "🔗 Купить продукт")</f>
        <v/>
      </c>
      <c r="I43" t="inlineStr">
        <is>
          <t>6-935-825</t>
        </is>
      </c>
    </row>
    <row r="44" ht="30" customHeight="1">
      <c r="A44" s="4" t="inlineStr">
        <is>
          <t>IP-Телефоны</t>
        </is>
      </c>
      <c r="B44" s="4" t="inlineStr">
        <is>
          <t>IP телефон Grandstream GRP2612W (PoE, 16 virtual BLF)</t>
        </is>
      </c>
      <c r="C44" s="5" t="inlineStr"/>
      <c r="D44" s="5" t="n">
        <v>1348435</v>
      </c>
      <c r="E44" s="5" t="n">
        <v>1203960</v>
      </c>
      <c r="F44" s="5" t="inlineStr"/>
      <c r="G44" s="5" t="inlineStr">
        <is>
          <t>Grandstream</t>
        </is>
      </c>
      <c r="H44" s="5">
        <f>HYPERLINK("https://itrix.uz/product/933", "🔗 Купить продукт")</f>
        <v/>
      </c>
      <c r="I44" t="inlineStr">
        <is>
          <t>6-933-823</t>
        </is>
      </c>
    </row>
    <row r="45" ht="30" customHeight="1">
      <c r="A45" s="4" t="inlineStr">
        <is>
          <t>IP-Телефоны</t>
        </is>
      </c>
      <c r="B45" s="4" t="inlineStr">
        <is>
          <t>IP телефон Grandstream GRP2601 (без PoE) — 2 линии, 2 SIP аккаунта</t>
        </is>
      </c>
      <c r="C45" s="5" t="inlineStr"/>
      <c r="D45" s="5" t="n">
        <v>768096</v>
      </c>
      <c r="E45" s="5" t="n">
        <v>685800</v>
      </c>
      <c r="F45" s="5" t="inlineStr"/>
      <c r="G45" s="5" t="inlineStr">
        <is>
          <t>Grandstream</t>
        </is>
      </c>
      <c r="H45" s="5">
        <f>HYPERLINK("https://itrix.uz/product/923", "🔗 Купить продукт")</f>
        <v/>
      </c>
      <c r="I45" t="inlineStr">
        <is>
          <t>6-923-813</t>
        </is>
      </c>
    </row>
    <row r="46" ht="30" customHeight="1">
      <c r="A46" s="4" t="inlineStr">
        <is>
          <t>IP-Телефоны</t>
        </is>
      </c>
      <c r="B46" s="4" t="inlineStr">
        <is>
          <t>IP телефон Grandstream GRP2636</t>
        </is>
      </c>
      <c r="C46" s="5" t="inlineStr"/>
      <c r="D46" s="5" t="n">
        <v>3072384</v>
      </c>
      <c r="E46" s="5" t="n">
        <v>2743200</v>
      </c>
      <c r="F46" s="5" t="inlineStr"/>
      <c r="G46" s="5" t="inlineStr">
        <is>
          <t>Grandstream</t>
        </is>
      </c>
      <c r="H46" s="5">
        <f>HYPERLINK("https://itrix.uz/product/937", "🔗 Купить продукт")</f>
        <v/>
      </c>
      <c r="I46" t="inlineStr">
        <is>
          <t>6-937-827</t>
        </is>
      </c>
    </row>
    <row r="47" ht="30" customHeight="1">
      <c r="A47" s="4" t="inlineStr">
        <is>
          <t>IP-Телефоны</t>
        </is>
      </c>
      <c r="B47" s="4" t="inlineStr">
        <is>
          <t>IP телефон Grandstream GRP2670</t>
        </is>
      </c>
      <c r="C47" s="5" t="inlineStr"/>
      <c r="D47" s="5" t="n">
        <v>3806342</v>
      </c>
      <c r="E47" s="5" t="n">
        <v>3398520</v>
      </c>
      <c r="F47" s="5" t="inlineStr"/>
      <c r="G47" s="5" t="inlineStr">
        <is>
          <t>Grandstream</t>
        </is>
      </c>
      <c r="H47" s="5">
        <f>HYPERLINK("https://itrix.uz/product/938", "🔗 Купить продукт")</f>
        <v/>
      </c>
      <c r="I47" t="inlineStr">
        <is>
          <t>6-938-828</t>
        </is>
      </c>
    </row>
    <row r="48" ht="30" customHeight="1">
      <c r="A48" s="4" t="inlineStr">
        <is>
          <t>IP-Телефоны</t>
        </is>
      </c>
      <c r="B48" s="4" t="inlineStr">
        <is>
          <t xml:space="preserve">WiFi телефон Grandstream WP816 </t>
        </is>
      </c>
      <c r="C48" s="5" t="inlineStr"/>
      <c r="D48" s="5" t="n">
        <v>1433779</v>
      </c>
      <c r="E48" s="5" t="n">
        <v>1280160</v>
      </c>
      <c r="F48" s="5" t="inlineStr"/>
      <c r="G48" s="5" t="inlineStr">
        <is>
          <t>Grandstream</t>
        </is>
      </c>
      <c r="H48" s="5">
        <f>HYPERLINK("https://itrix.uz/product/991", "🔗 Купить продукт")</f>
        <v/>
      </c>
      <c r="I48" t="inlineStr">
        <is>
          <t>6-991-880</t>
        </is>
      </c>
    </row>
    <row r="49" ht="30" customHeight="1">
      <c r="A49" s="4" t="inlineStr">
        <is>
          <t>IP-Телефоны</t>
        </is>
      </c>
      <c r="B49" s="4" t="inlineStr">
        <is>
          <t>IP телефон Grandstream GRP2624</t>
        </is>
      </c>
      <c r="C49" s="5" t="inlineStr"/>
      <c r="D49" s="5" t="n">
        <v>2099462</v>
      </c>
      <c r="E49" s="5" t="n">
        <v>1874520</v>
      </c>
      <c r="F49" s="5" t="inlineStr"/>
      <c r="G49" s="5" t="inlineStr">
        <is>
          <t>Grandstream</t>
        </is>
      </c>
      <c r="H49" s="5">
        <f>HYPERLINK("https://itrix.uz/product/936", "🔗 Купить продукт")</f>
        <v/>
      </c>
      <c r="I49" t="inlineStr">
        <is>
          <t>6-936-826</t>
        </is>
      </c>
    </row>
    <row r="50" ht="30" customHeight="1">
      <c r="A50" s="4" t="inlineStr">
        <is>
          <t>IP-Телефоны</t>
        </is>
      </c>
      <c r="B50" s="4" t="inlineStr">
        <is>
          <t>IP видеотелефон Grandstream GXV3450</t>
        </is>
      </c>
      <c r="C50" s="5" t="inlineStr"/>
      <c r="D50" s="5" t="n">
        <v>5646928</v>
      </c>
      <c r="E50" s="5" t="n">
        <v>5041900</v>
      </c>
      <c r="F50" s="5" t="inlineStr"/>
      <c r="G50" s="5" t="inlineStr">
        <is>
          <t>Grandstream</t>
        </is>
      </c>
      <c r="H50" s="5">
        <f>HYPERLINK("https://itrix.uz/product/983", "🔗 Купить продукт")</f>
        <v/>
      </c>
      <c r="I50" t="inlineStr">
        <is>
          <t>6-983-872</t>
        </is>
      </c>
    </row>
    <row r="51" ht="30" customHeight="1">
      <c r="A51" s="4" t="inlineStr">
        <is>
          <t>IP-Телефоны</t>
        </is>
      </c>
      <c r="B51" s="4" t="inlineStr">
        <is>
          <t xml:space="preserve">IP телефон Grandstream GXP1625 </t>
        </is>
      </c>
      <c r="C51" s="5" t="inlineStr"/>
      <c r="D51" s="5" t="n">
        <v>870509</v>
      </c>
      <c r="E51" s="5" t="n">
        <v>777240</v>
      </c>
      <c r="F51" s="5" t="inlineStr"/>
      <c r="G51" s="5" t="inlineStr">
        <is>
          <t>Grandstream</t>
        </is>
      </c>
      <c r="H51" s="5">
        <f>HYPERLINK("https://itrix.uz/product/981", "🔗 Купить продукт")</f>
        <v/>
      </c>
      <c r="I51" t="inlineStr">
        <is>
          <t>6-981-870</t>
        </is>
      </c>
    </row>
    <row r="52" ht="30" customHeight="1">
      <c r="A52" s="4" t="inlineStr">
        <is>
          <t>IP-Телефоны</t>
        </is>
      </c>
      <c r="B52" s="4" t="inlineStr">
        <is>
          <t xml:space="preserve">IP-видеотелефон Grandstream GXV3470 </t>
        </is>
      </c>
      <c r="C52" s="5" t="inlineStr"/>
      <c r="D52" s="5" t="n">
        <v>7168896</v>
      </c>
      <c r="E52" s="5" t="n">
        <v>6400800</v>
      </c>
      <c r="F52" s="5" t="inlineStr"/>
      <c r="G52" s="5" t="inlineStr">
        <is>
          <t>Grandstream</t>
        </is>
      </c>
      <c r="H52" s="5">
        <f>HYPERLINK("https://itrix.uz/product/984", "🔗 Купить продукт")</f>
        <v/>
      </c>
      <c r="I52" t="inlineStr">
        <is>
          <t>6-984-873</t>
        </is>
      </c>
    </row>
    <row r="53" ht="30" customHeight="1">
      <c r="A53" s="4" t="inlineStr">
        <is>
          <t>IP-Телефоны</t>
        </is>
      </c>
      <c r="B53" s="4" t="inlineStr">
        <is>
          <t>IP видеотелефон Grandstream GXV3480</t>
        </is>
      </c>
      <c r="C53" s="5" t="inlineStr"/>
      <c r="D53" s="5" t="n">
        <v>8585606</v>
      </c>
      <c r="E53" s="5" t="n">
        <v>7665720</v>
      </c>
      <c r="F53" s="5" t="inlineStr"/>
      <c r="G53" s="5" t="inlineStr">
        <is>
          <t>Grandstream</t>
        </is>
      </c>
      <c r="H53" s="5">
        <f>HYPERLINK("https://itrix.uz/product/985", "🔗 Купить продукт")</f>
        <v/>
      </c>
      <c r="I53" t="inlineStr">
        <is>
          <t>6-985-874</t>
        </is>
      </c>
    </row>
    <row r="54" ht="30" customHeight="1">
      <c r="A54" s="4" t="inlineStr">
        <is>
          <t>IP-АТС</t>
        </is>
      </c>
      <c r="B54" s="4" t="inlineStr">
        <is>
          <t>IP ATC Grandstream UCM6300A</t>
        </is>
      </c>
      <c r="C54" s="5" t="inlineStr"/>
      <c r="D54" s="5" t="n">
        <v>3806342</v>
      </c>
      <c r="E54" s="5" t="n">
        <v>3398520</v>
      </c>
      <c r="F54" s="5" t="inlineStr"/>
      <c r="G54" s="5" t="inlineStr">
        <is>
          <t>Grandstream</t>
        </is>
      </c>
      <c r="H54" s="5">
        <f>HYPERLINK("https://itrix.uz/product/987", "🔗 Купить продукт")</f>
        <v/>
      </c>
      <c r="I54" t="inlineStr">
        <is>
          <t>6-987-876</t>
        </is>
      </c>
    </row>
    <row r="55" ht="30" customHeight="1">
      <c r="A55" s="4" t="inlineStr">
        <is>
          <t>IP-АТС</t>
        </is>
      </c>
      <c r="B55" s="4" t="inlineStr">
        <is>
          <t>Голосовой шлюз Grandstream GXW4248</t>
        </is>
      </c>
      <c r="C55" s="5" t="inlineStr"/>
      <c r="D55" s="5" t="n">
        <v>21967546</v>
      </c>
      <c r="E55" s="5" t="n">
        <v>19613880</v>
      </c>
      <c r="F55" s="5" t="inlineStr"/>
      <c r="G55" s="5" t="inlineStr">
        <is>
          <t>Grandstream</t>
        </is>
      </c>
      <c r="H55" s="5">
        <f>HYPERLINK("https://itrix.uz/product/986", "🔗 Купить продукт")</f>
        <v/>
      </c>
      <c r="I55" t="inlineStr">
        <is>
          <t>6-986-875</t>
        </is>
      </c>
    </row>
    <row r="56" ht="30" customHeight="1">
      <c r="A56" s="4" t="inlineStr">
        <is>
          <t>IP-Телефоны</t>
        </is>
      </c>
      <c r="B56" s="4" t="inlineStr">
        <is>
          <t xml:space="preserve">DECT  телефон Grandstream DP720 </t>
        </is>
      </c>
      <c r="C56" s="5" t="inlineStr"/>
      <c r="D56" s="5" t="n">
        <v>1194816</v>
      </c>
      <c r="E56" s="5" t="n">
        <v>1066800</v>
      </c>
      <c r="F56" s="5" t="inlineStr"/>
      <c r="G56" s="5" t="inlineStr">
        <is>
          <t>Grandstream</t>
        </is>
      </c>
      <c r="H56" s="5">
        <f>HYPERLINK("https://itrix.uz/product/907", "🔗 Купить продукт")</f>
        <v/>
      </c>
      <c r="I56" t="inlineStr">
        <is>
          <t>6-907-797</t>
        </is>
      </c>
    </row>
    <row r="57" ht="30" customHeight="1">
      <c r="A57" s="4" t="inlineStr">
        <is>
          <t>IP-АТС</t>
        </is>
      </c>
      <c r="B57" s="4" t="inlineStr">
        <is>
          <t xml:space="preserve">IP ATC Grandstream UCM6302A </t>
        </is>
      </c>
      <c r="C57" s="5" t="inlineStr"/>
      <c r="D57" s="5" t="n">
        <v>8585606</v>
      </c>
      <c r="E57" s="5" t="n">
        <v>7665720</v>
      </c>
      <c r="F57" s="5" t="inlineStr"/>
      <c r="G57" s="5" t="inlineStr">
        <is>
          <t>Grandstream</t>
        </is>
      </c>
      <c r="H57" s="5">
        <f>HYPERLINK("https://itrix.uz/product/989", "🔗 Купить продукт")</f>
        <v/>
      </c>
      <c r="I57" t="inlineStr">
        <is>
          <t>6-989-878</t>
        </is>
      </c>
    </row>
    <row r="58" ht="30" customHeight="1">
      <c r="A58" s="4" t="inlineStr">
        <is>
          <t>IP-Телефоны</t>
        </is>
      </c>
      <c r="B58" s="4" t="inlineStr">
        <is>
          <t xml:space="preserve">DECT  телефон Grandstream DP725 Handset </t>
        </is>
      </c>
      <c r="C58" s="5" t="inlineStr"/>
      <c r="D58" s="5" t="n">
        <v>1180592</v>
      </c>
      <c r="E58" s="5" t="n">
        <v>1054100</v>
      </c>
      <c r="F58" s="5" t="inlineStr"/>
      <c r="G58" s="5" t="inlineStr">
        <is>
          <t>Grandstream</t>
        </is>
      </c>
      <c r="H58" s="5">
        <f>HYPERLINK("https://itrix.uz/product/908", "🔗 Купить продукт")</f>
        <v/>
      </c>
      <c r="I58" t="inlineStr">
        <is>
          <t>6-908-798</t>
        </is>
      </c>
    </row>
    <row r="59" ht="30" customHeight="1">
      <c r="A59" s="4" t="inlineStr">
        <is>
          <t>IP-Телефоны</t>
        </is>
      </c>
      <c r="B59" s="4" t="inlineStr">
        <is>
          <t>Базовая станция Grandstream DP755 DECT</t>
        </is>
      </c>
      <c r="C59" s="5" t="inlineStr"/>
      <c r="D59" s="5" t="n">
        <v>1058266</v>
      </c>
      <c r="E59" s="5" t="n">
        <v>944880</v>
      </c>
      <c r="F59" s="5" t="inlineStr"/>
      <c r="G59" s="5" t="inlineStr">
        <is>
          <t>Grandstream</t>
        </is>
      </c>
      <c r="H59" s="5">
        <f>HYPERLINK("https://itrix.uz/product/910", "🔗 Купить продукт")</f>
        <v/>
      </c>
      <c r="I59" t="inlineStr">
        <is>
          <t>6-910-800</t>
        </is>
      </c>
    </row>
    <row r="60" ht="30" customHeight="1">
      <c r="A60" s="4" t="inlineStr">
        <is>
          <t>IP-Телефоны</t>
        </is>
      </c>
      <c r="B60" s="4" t="inlineStr">
        <is>
          <t xml:space="preserve">IP- телефон Grandstream GHP611 </t>
        </is>
      </c>
      <c r="C60" s="5" t="inlineStr"/>
      <c r="D60" s="5" t="n">
        <v>751027</v>
      </c>
      <c r="E60" s="5" t="n">
        <v>670560</v>
      </c>
      <c r="F60" s="5" t="inlineStr"/>
      <c r="G60" s="5" t="inlineStr">
        <is>
          <t>Grandstream</t>
        </is>
      </c>
      <c r="H60" s="5">
        <f>HYPERLINK("https://itrix.uz/product/917", "🔗 Купить продукт")</f>
        <v/>
      </c>
      <c r="I60" t="inlineStr">
        <is>
          <t>6-917-807</t>
        </is>
      </c>
    </row>
    <row r="61" ht="30" customHeight="1">
      <c r="A61" s="4" t="inlineStr">
        <is>
          <t>IP-Телефоны</t>
        </is>
      </c>
      <c r="B61" s="4" t="inlineStr">
        <is>
          <t>IP-телефон Grandstream GHP620</t>
        </is>
      </c>
      <c r="C61" s="5" t="inlineStr"/>
      <c r="D61" s="5" t="n">
        <v>819302</v>
      </c>
      <c r="E61" s="5" t="n">
        <v>731520</v>
      </c>
      <c r="F61" s="5" t="inlineStr"/>
      <c r="G61" s="5" t="inlineStr">
        <is>
          <t>Grandstream</t>
        </is>
      </c>
      <c r="H61" s="5">
        <f>HYPERLINK("https://itrix.uz/product/918", "🔗 Купить продукт")</f>
        <v/>
      </c>
      <c r="I61" t="inlineStr">
        <is>
          <t>6-918-808</t>
        </is>
      </c>
    </row>
    <row r="62" ht="30" customHeight="1">
      <c r="A62" s="4" t="inlineStr">
        <is>
          <t>IP-Телефоны</t>
        </is>
      </c>
      <c r="B62" s="4" t="inlineStr">
        <is>
          <t xml:space="preserve">IP-телефон Grandstream GHP621 </t>
        </is>
      </c>
      <c r="C62" s="5" t="inlineStr"/>
      <c r="D62" s="5" t="n">
        <v>819302</v>
      </c>
      <c r="E62" s="5" t="n">
        <v>731520</v>
      </c>
      <c r="F62" s="5" t="inlineStr"/>
      <c r="G62" s="5" t="inlineStr">
        <is>
          <t>Grandstream</t>
        </is>
      </c>
      <c r="H62" s="5">
        <f>HYPERLINK("https://itrix.uz/product/919", "🔗 Купить продукт")</f>
        <v/>
      </c>
      <c r="I62" t="inlineStr">
        <is>
          <t>6-919-809</t>
        </is>
      </c>
    </row>
    <row r="63" ht="30" customHeight="1">
      <c r="A63" s="4" t="inlineStr">
        <is>
          <t>IP-Телефоны</t>
        </is>
      </c>
      <c r="B63" s="4" t="inlineStr">
        <is>
          <t>IP-телефон Grandstream GHP621W</t>
        </is>
      </c>
      <c r="C63" s="5" t="inlineStr"/>
      <c r="D63" s="5" t="n">
        <v>1246022</v>
      </c>
      <c r="E63" s="5" t="n">
        <v>1112520</v>
      </c>
      <c r="F63" s="5" t="inlineStr"/>
      <c r="G63" s="5" t="inlineStr">
        <is>
          <t>Grandstream</t>
        </is>
      </c>
      <c r="H63" s="5">
        <f>HYPERLINK("https://itrix.uz/product/920", "🔗 Купить продукт")</f>
        <v/>
      </c>
      <c r="I63" t="inlineStr">
        <is>
          <t>6-920-810</t>
        </is>
      </c>
    </row>
    <row r="64" ht="30" customHeight="1">
      <c r="A64" s="4" t="inlineStr">
        <is>
          <t>IP-Телефоны</t>
        </is>
      </c>
      <c r="B64" s="4" t="inlineStr">
        <is>
          <t>IP-телефон Grandstream GHP630</t>
        </is>
      </c>
      <c r="C64" s="5" t="inlineStr"/>
      <c r="D64" s="5" t="n">
        <v>1246022</v>
      </c>
      <c r="E64" s="5" t="n">
        <v>1112520</v>
      </c>
      <c r="F64" s="5" t="inlineStr"/>
      <c r="G64" s="5" t="inlineStr">
        <is>
          <t>Grandstream</t>
        </is>
      </c>
      <c r="H64" s="5">
        <f>HYPERLINK("https://itrix.uz/product/921", "🔗 Купить продукт")</f>
        <v/>
      </c>
      <c r="I64" t="inlineStr">
        <is>
          <t>6-921-811</t>
        </is>
      </c>
    </row>
    <row r="65" ht="30" customHeight="1">
      <c r="A65" s="4" t="inlineStr">
        <is>
          <t>IP-Телефоны</t>
        </is>
      </c>
      <c r="B65" s="4" t="inlineStr">
        <is>
          <t xml:space="preserve">IP-телефон Grandstream GHP631 </t>
        </is>
      </c>
      <c r="C65" s="5" t="inlineStr"/>
      <c r="D65" s="5" t="n">
        <v>1246022</v>
      </c>
      <c r="E65" s="5" t="n">
        <v>1112520</v>
      </c>
      <c r="F65" s="5" t="inlineStr"/>
      <c r="G65" s="5" t="inlineStr">
        <is>
          <t>Grandstream</t>
        </is>
      </c>
      <c r="H65" s="5">
        <f>HYPERLINK("https://itrix.uz/product/922", "🔗 Купить продукт")</f>
        <v/>
      </c>
      <c r="I65" t="inlineStr">
        <is>
          <t>6-922-812</t>
        </is>
      </c>
    </row>
    <row r="66" ht="30" customHeight="1">
      <c r="A66" s="4" t="inlineStr">
        <is>
          <t>IP-Телефоны</t>
        </is>
      </c>
      <c r="B66" s="4" t="inlineStr">
        <is>
          <t>IP телефон Grandstream GRP2601W</t>
        </is>
      </c>
      <c r="C66" s="5" t="inlineStr"/>
      <c r="D66" s="5" t="n">
        <v>870509</v>
      </c>
      <c r="E66" s="5" t="n">
        <v>777240</v>
      </c>
      <c r="F66" s="5" t="inlineStr"/>
      <c r="G66" s="5" t="inlineStr">
        <is>
          <t>Grandstream</t>
        </is>
      </c>
      <c r="H66" s="5">
        <f>HYPERLINK("https://itrix.uz/product/925", "🔗 Купить продукт")</f>
        <v/>
      </c>
      <c r="I66" t="inlineStr">
        <is>
          <t>6-925-815</t>
        </is>
      </c>
    </row>
    <row r="67" ht="30" customHeight="1">
      <c r="A67" s="4" t="inlineStr">
        <is>
          <t>IP-Телефоны</t>
        </is>
      </c>
      <c r="B67" s="4" t="inlineStr">
        <is>
          <t>IP телефон Yealink SIP-T43U</t>
        </is>
      </c>
      <c r="C67" s="5" t="inlineStr"/>
      <c r="D67" s="5" t="n">
        <v>1948688</v>
      </c>
      <c r="E67" s="5" t="n">
        <v>1739900</v>
      </c>
      <c r="F67" s="5" t="inlineStr"/>
      <c r="G67" s="5" t="inlineStr">
        <is>
          <t>Yealink</t>
        </is>
      </c>
      <c r="H67" s="5">
        <f>HYPERLINK("https://itrix.uz/product/321", "🔗 Купить продукт")</f>
        <v/>
      </c>
      <c r="I67" t="inlineStr">
        <is>
          <t>6-321-323</t>
        </is>
      </c>
    </row>
    <row r="68" ht="30" customHeight="1">
      <c r="A68" s="4" t="inlineStr">
        <is>
          <t>IP-Телефоны</t>
        </is>
      </c>
      <c r="B68" s="4" t="inlineStr">
        <is>
          <t>Базовая станция Grandstream DP752</t>
        </is>
      </c>
      <c r="C68" s="5" t="inlineStr"/>
      <c r="D68" s="5" t="n">
        <v>1143610</v>
      </c>
      <c r="E68" s="5" t="n">
        <v>1021080</v>
      </c>
      <c r="F68" s="5" t="inlineStr"/>
      <c r="G68" s="5" t="inlineStr">
        <is>
          <t>Grandstream</t>
        </is>
      </c>
      <c r="H68" s="5">
        <f>HYPERLINK("https://itrix.uz/product/21", "🔗 Купить продукт")</f>
        <v/>
      </c>
      <c r="I68" t="inlineStr">
        <is>
          <t>6-21-20</t>
        </is>
      </c>
    </row>
    <row r="69" ht="30" customHeight="1">
      <c r="A69" s="4" t="inlineStr">
        <is>
          <t>IP-Телефоны</t>
        </is>
      </c>
      <c r="B69" s="4" t="inlineStr">
        <is>
          <t xml:space="preserve">Модуль расширения Grandstream GXP2200EXT </t>
        </is>
      </c>
      <c r="C69" s="5" t="inlineStr"/>
      <c r="D69" s="5" t="n">
        <v>2389632</v>
      </c>
      <c r="E69" s="5" t="n">
        <v>2133600</v>
      </c>
      <c r="F69" s="5" t="inlineStr"/>
      <c r="G69" s="5" t="inlineStr">
        <is>
          <t>Grandstream</t>
        </is>
      </c>
      <c r="H69" s="5">
        <f>HYPERLINK("https://itrix.uz/product/982", "🔗 Купить продукт")</f>
        <v/>
      </c>
      <c r="I69" t="inlineStr">
        <is>
          <t>6-982-871</t>
        </is>
      </c>
    </row>
    <row r="70" ht="30" customHeight="1">
      <c r="A70" s="4" t="inlineStr">
        <is>
          <t>IP-оборудование</t>
        </is>
      </c>
      <c r="B70" s="4" t="inlineStr">
        <is>
          <t>Модуль расширения кнопочный Cisco CP-8800-V-KEM</t>
        </is>
      </c>
      <c r="C70" s="5" t="inlineStr"/>
      <c r="D70" s="5" t="n">
        <v>12016435</v>
      </c>
      <c r="E70" s="5" t="n">
        <v>10728960</v>
      </c>
      <c r="F70" s="5" t="inlineStr"/>
      <c r="G70" s="5" t="inlineStr">
        <is>
          <t>Cisco</t>
        </is>
      </c>
      <c r="H70" s="5">
        <f>HYPERLINK("https://itrix.uz/product/1159", "🔗 Купить продукт")</f>
        <v/>
      </c>
      <c r="I70" t="inlineStr">
        <is>
          <t>6-1159-890</t>
        </is>
      </c>
    </row>
    <row r="71" ht="30" customHeight="1">
      <c r="A71" s="4" t="inlineStr">
        <is>
          <t>IP-АТС</t>
        </is>
      </c>
      <c r="B71" s="4" t="inlineStr">
        <is>
          <t>IP АТС Grandstream UCM6308A – современное решение для офисной телефонии</t>
        </is>
      </c>
      <c r="C71" s="5" t="inlineStr"/>
      <c r="D71" s="5" t="n">
        <v>23879251</v>
      </c>
      <c r="E71" s="5" t="n">
        <v>21320760</v>
      </c>
      <c r="F71" s="5" t="inlineStr"/>
      <c r="G71" s="5" t="inlineStr">
        <is>
          <t>Grandstream</t>
        </is>
      </c>
      <c r="H71" s="5">
        <f>HYPERLINK("https://itrix.uz/product/1275", "🔗 Купить продукт")</f>
        <v/>
      </c>
      <c r="I71" t="inlineStr">
        <is>
          <t>6-1275-986</t>
        </is>
      </c>
    </row>
    <row r="72" ht="30" customHeight="1">
      <c r="A72" s="4" t="inlineStr">
        <is>
          <t>IP-Телефоны</t>
        </is>
      </c>
      <c r="B72" s="4" t="inlineStr">
        <is>
          <t xml:space="preserve">IP телефон Cisco DP-9841-K9= </t>
        </is>
      </c>
      <c r="C72" s="5" t="inlineStr"/>
      <c r="D72" s="5" t="n">
        <v>6981139</v>
      </c>
      <c r="E72" s="5" t="n">
        <v>6233160</v>
      </c>
      <c r="F72" s="5" t="inlineStr"/>
      <c r="G72" s="5" t="inlineStr">
        <is>
          <t>Cisco</t>
        </is>
      </c>
      <c r="H72" s="5">
        <f>HYPERLINK("https://itrix.uz/product/1174", "🔗 Купить продукт")</f>
        <v/>
      </c>
      <c r="I72" t="inlineStr">
        <is>
          <t>6-1174-904</t>
        </is>
      </c>
    </row>
    <row r="73" ht="30" customHeight="1">
      <c r="A73" s="4" t="inlineStr">
        <is>
          <t>IP-оборудование</t>
        </is>
      </c>
      <c r="B73" s="4" t="inlineStr">
        <is>
          <t>Спикерфон Jabra Speak2 55 UC</t>
        </is>
      </c>
      <c r="C73" s="5" t="inlineStr"/>
      <c r="D73" s="5" t="n">
        <v>2884627</v>
      </c>
      <c r="E73" s="5" t="n">
        <v>2575560</v>
      </c>
      <c r="F73" s="5" t="inlineStr"/>
      <c r="G73" s="5" t="inlineStr">
        <is>
          <t>JABRA</t>
        </is>
      </c>
      <c r="H73" s="5">
        <f>HYPERLINK("https://itrix.uz/product/1209", "🔗 Купить продукт")</f>
        <v/>
      </c>
      <c r="I73" t="inlineStr">
        <is>
          <t>6-1209-939</t>
        </is>
      </c>
    </row>
    <row r="74" ht="30" customHeight="1">
      <c r="A74" s="4" t="inlineStr">
        <is>
          <t>IP-оборудование</t>
        </is>
      </c>
      <c r="B74" s="4" t="inlineStr">
        <is>
          <t>Видеокамера Jabra PanaCast 50 EMEA Black</t>
        </is>
      </c>
      <c r="C74" s="5" t="inlineStr"/>
      <c r="D74" s="5" t="n">
        <v>26422502</v>
      </c>
      <c r="E74" s="5" t="n">
        <v>23591520</v>
      </c>
      <c r="F74" s="5" t="inlineStr"/>
      <c r="G74" s="5" t="inlineStr">
        <is>
          <t>JABRA</t>
        </is>
      </c>
      <c r="H74" s="5">
        <f>HYPERLINK("https://itrix.uz/product/1202", "🔗 Купить продукт")</f>
        <v/>
      </c>
      <c r="I74" t="inlineStr">
        <is>
          <t>6-1202-932</t>
        </is>
      </c>
    </row>
    <row r="75" ht="30" customHeight="1">
      <c r="A75" s="4" t="inlineStr">
        <is>
          <t>IP-оборудование</t>
        </is>
      </c>
      <c r="B75" s="4" t="inlineStr">
        <is>
          <t>IP шлюз Grandstream GXW4216</t>
        </is>
      </c>
      <c r="C75" s="5" t="inlineStr"/>
      <c r="D75" s="5" t="n">
        <v>10227056</v>
      </c>
      <c r="E75" s="5" t="n">
        <v>9131300</v>
      </c>
      <c r="F75" s="5" t="inlineStr"/>
      <c r="G75" s="5" t="inlineStr">
        <is>
          <t>Grandstream</t>
        </is>
      </c>
      <c r="H75" s="5">
        <f>HYPERLINK("https://itrix.uz/product/1272", "🔗 Купить продукт")</f>
        <v/>
      </c>
      <c r="I75" t="inlineStr">
        <is>
          <t>6-1272-983</t>
        </is>
      </c>
    </row>
    <row r="76" ht="30" customHeight="1">
      <c r="A76" s="4" t="inlineStr">
        <is>
          <t>IP-оборудование</t>
        </is>
      </c>
      <c r="B76" s="4" t="inlineStr">
        <is>
          <t xml:space="preserve">Профессиональный конференц-спикерфон Jabra Speak 710 MS </t>
        </is>
      </c>
      <c r="C76" s="5" t="inlineStr"/>
      <c r="D76" s="5" t="n">
        <v>5427878</v>
      </c>
      <c r="E76" s="5" t="n">
        <v>4846320</v>
      </c>
      <c r="F76" s="5" t="inlineStr"/>
      <c r="G76" s="5" t="inlineStr">
        <is>
          <t>JABRA</t>
        </is>
      </c>
      <c r="H76" s="5">
        <f>HYPERLINK("https://itrix.uz/product/1207", "🔗 Купить продукт")</f>
        <v/>
      </c>
      <c r="I76" t="inlineStr">
        <is>
          <t>6-1207-937</t>
        </is>
      </c>
    </row>
    <row r="77" ht="30" customHeight="1">
      <c r="A77" s="4" t="inlineStr">
        <is>
          <t>IP-оборудование</t>
        </is>
      </c>
      <c r="B77" s="4" t="inlineStr">
        <is>
          <t>Профессиональный конференц спикерфон Jabra SPEAK2 55 MS Teams</t>
        </is>
      </c>
      <c r="C77" s="5" t="inlineStr"/>
      <c r="D77" s="5" t="n">
        <v>2884627</v>
      </c>
      <c r="E77" s="5" t="n">
        <v>2575560</v>
      </c>
      <c r="F77" s="5" t="inlineStr"/>
      <c r="G77" s="5" t="inlineStr">
        <is>
          <t>JABRA</t>
        </is>
      </c>
      <c r="H77" s="5">
        <f>HYPERLINK("https://itrix.uz/product/1208", "🔗 Купить продукт")</f>
        <v/>
      </c>
      <c r="I77" t="inlineStr">
        <is>
          <t>6-1208-938</t>
        </is>
      </c>
    </row>
    <row r="78" ht="30" customHeight="1">
      <c r="A78" s="4" t="inlineStr">
        <is>
          <t>IP-Телефоны</t>
        </is>
      </c>
      <c r="B78" s="4" t="inlineStr">
        <is>
          <t>IP телефон Grandstream GHP610</t>
        </is>
      </c>
      <c r="C78" s="5" t="inlineStr"/>
      <c r="D78" s="5" t="n">
        <v>753872</v>
      </c>
      <c r="E78" s="5" t="n">
        <v>673100</v>
      </c>
      <c r="F78" s="5" t="inlineStr"/>
      <c r="G78" s="5" t="inlineStr">
        <is>
          <t>Grandstream</t>
        </is>
      </c>
      <c r="H78" s="5">
        <f>HYPERLINK("https://itrix.uz/product/1236", "🔗 Купить продукт")</f>
        <v/>
      </c>
      <c r="I78" t="inlineStr">
        <is>
          <t>6-1236-947</t>
        </is>
      </c>
    </row>
    <row r="79" ht="30" customHeight="1">
      <c r="A79" s="4" t="inlineStr">
        <is>
          <t>IP-Телефоны</t>
        </is>
      </c>
      <c r="B79" s="4" t="inlineStr">
        <is>
          <t>IP телефон Grandstream GRP2613</t>
        </is>
      </c>
      <c r="C79" s="5" t="inlineStr"/>
      <c r="D79" s="5" t="n">
        <v>1621536</v>
      </c>
      <c r="E79" s="5" t="n">
        <v>1447800</v>
      </c>
      <c r="F79" s="5" t="inlineStr"/>
      <c r="G79" s="5" t="inlineStr">
        <is>
          <t>Grandstream</t>
        </is>
      </c>
      <c r="H79" s="5">
        <f>HYPERLINK("https://itrix.uz/product/1239", "🔗 Купить продукт")</f>
        <v/>
      </c>
      <c r="I79" t="inlineStr">
        <is>
          <t>6-1239-950</t>
        </is>
      </c>
    </row>
    <row r="80" ht="30" customHeight="1">
      <c r="A80" s="4" t="inlineStr">
        <is>
          <t>IP-Телефоны</t>
        </is>
      </c>
      <c r="B80" s="4" t="inlineStr">
        <is>
          <t xml:space="preserve">IP телефон Grandstream GRP2614 </t>
        </is>
      </c>
      <c r="C80" s="5" t="inlineStr"/>
      <c r="D80" s="5" t="n">
        <v>2987040</v>
      </c>
      <c r="E80" s="5" t="n">
        <v>2667000</v>
      </c>
      <c r="F80" s="5" t="inlineStr"/>
      <c r="G80" s="5" t="inlineStr">
        <is>
          <t>Grandstream</t>
        </is>
      </c>
      <c r="H80" s="5">
        <f>HYPERLINK("https://itrix.uz/product/1240", "🔗 Купить продукт")</f>
        <v/>
      </c>
      <c r="I80" t="inlineStr">
        <is>
          <t>6-1240-951</t>
        </is>
      </c>
    </row>
    <row r="81" ht="30" customHeight="1">
      <c r="A81" s="4" t="inlineStr">
        <is>
          <t>IP-АТС</t>
        </is>
      </c>
      <c r="B81" s="4" t="inlineStr">
        <is>
          <t>IP АТС Grandstream UCM6304 — VoIP-платформа для бизнеса до 2000 пользователей</t>
        </is>
      </c>
      <c r="C81" s="5" t="inlineStr"/>
      <c r="D81" s="5" t="n">
        <v>22857968</v>
      </c>
      <c r="E81" s="5" t="n">
        <v>20408900</v>
      </c>
      <c r="F81" s="5" t="inlineStr"/>
      <c r="G81" s="5" t="inlineStr">
        <is>
          <t>Grandstream</t>
        </is>
      </c>
      <c r="H81" s="5">
        <f>HYPERLINK("https://itrix.uz/product/1274", "🔗 Купить продукт")</f>
        <v/>
      </c>
      <c r="I81" t="inlineStr">
        <is>
          <t>6-1274-985</t>
        </is>
      </c>
    </row>
    <row r="82" ht="30" customHeight="1">
      <c r="A82" s="4" t="inlineStr">
        <is>
          <t>IP-Телефоны</t>
        </is>
      </c>
      <c r="B82" s="4" t="inlineStr">
        <is>
          <t>IP телефон Grandstream GRP2634</t>
        </is>
      </c>
      <c r="C82" s="5" t="inlineStr"/>
      <c r="D82" s="5" t="n">
        <v>2201875</v>
      </c>
      <c r="E82" s="5" t="n">
        <v>1965960</v>
      </c>
      <c r="F82" s="5" t="inlineStr"/>
      <c r="G82" s="5" t="inlineStr">
        <is>
          <t>Grandstream</t>
        </is>
      </c>
      <c r="H82" s="5">
        <f>HYPERLINK("https://itrix.uz/product/1241", "🔗 Купить продукт")</f>
        <v/>
      </c>
      <c r="I82" t="inlineStr">
        <is>
          <t>6-1241-952</t>
        </is>
      </c>
    </row>
    <row r="83" ht="30" customHeight="1">
      <c r="A83" s="4" t="inlineStr">
        <is>
          <t>IP-оборудование</t>
        </is>
      </c>
      <c r="B83" s="4" t="inlineStr">
        <is>
          <t>Система видеоконференцсвязи Cisco CS-BAR-T-K9</t>
        </is>
      </c>
      <c r="C83" s="5" t="inlineStr"/>
      <c r="D83" s="5" t="n">
        <v>116579904</v>
      </c>
      <c r="E83" s="5" t="n">
        <v>104089200</v>
      </c>
      <c r="F83" s="5" t="inlineStr"/>
      <c r="G83" s="5" t="inlineStr">
        <is>
          <t>Cisco</t>
        </is>
      </c>
      <c r="H83" s="5">
        <f>HYPERLINK("https://itrix.uz/product/1251", "🔗 Купить продукт")</f>
        <v/>
      </c>
      <c r="I83" t="inlineStr">
        <is>
          <t>6-1251-962</t>
        </is>
      </c>
    </row>
    <row r="84" ht="30" customHeight="1">
      <c r="A84" s="4" t="inlineStr">
        <is>
          <t>IP-Телефоны</t>
        </is>
      </c>
      <c r="B84" s="4" t="inlineStr">
        <is>
          <t>IP-телефон Cisco DP-9851-K9</t>
        </is>
      </c>
      <c r="C84" s="5" t="inlineStr"/>
      <c r="D84" s="5" t="n">
        <v>8761984</v>
      </c>
      <c r="E84" s="5" t="n">
        <v>7823200</v>
      </c>
      <c r="F84" s="5" t="inlineStr"/>
      <c r="G84" s="5" t="inlineStr">
        <is>
          <t>Cisco</t>
        </is>
      </c>
      <c r="H84" s="5">
        <f>HYPERLINK("https://itrix.uz/product/1255", "🔗 Купить продукт")</f>
        <v/>
      </c>
      <c r="I84" t="inlineStr">
        <is>
          <t>6-1255-966</t>
        </is>
      </c>
    </row>
    <row r="85" ht="30" customHeight="1">
      <c r="A85" s="4" t="inlineStr">
        <is>
          <t>IP-Телефоны</t>
        </is>
      </c>
      <c r="B85" s="4" t="inlineStr">
        <is>
          <t>IP телефон Grandstream GXP2140</t>
        </is>
      </c>
      <c r="C85" s="5" t="inlineStr"/>
      <c r="D85" s="5" t="n">
        <v>2372563</v>
      </c>
      <c r="E85" s="5" t="n">
        <v>2118360</v>
      </c>
      <c r="F85" s="5" t="inlineStr"/>
      <c r="G85" s="5" t="inlineStr">
        <is>
          <t>Grandstream</t>
        </is>
      </c>
      <c r="H85" s="5">
        <f>HYPERLINK("https://itrix.uz/product/1271", "🔗 Купить продукт")</f>
        <v/>
      </c>
      <c r="I85" t="inlineStr">
        <is>
          <t>6-1271-982</t>
        </is>
      </c>
    </row>
    <row r="86" ht="30" customHeight="1">
      <c r="A86" s="4" t="inlineStr">
        <is>
          <t>IP-Телефоны</t>
        </is>
      </c>
      <c r="B86" s="4" t="inlineStr">
        <is>
          <t>IP-телефон Ubiquiti UniFi G3 Touch Enterprise</t>
        </is>
      </c>
      <c r="C86" s="5" t="inlineStr"/>
      <c r="D86" s="5" t="n">
        <v>6295685</v>
      </c>
      <c r="E86" s="5" t="n">
        <v>5621147</v>
      </c>
      <c r="F86" s="5" t="n">
        <v>5188839</v>
      </c>
      <c r="G86" s="5" t="inlineStr">
        <is>
          <t>UniFi UBIQUITI</t>
        </is>
      </c>
      <c r="H86" s="5">
        <f>HYPERLINK("https://itrix.uz/product/1439", "🔗 Купить продукт")</f>
        <v/>
      </c>
      <c r="I86" t="inlineStr">
        <is>
          <t>6-1439-1139</t>
        </is>
      </c>
    </row>
    <row r="87" ht="30" customHeight="1">
      <c r="A87" s="4" t="inlineStr">
        <is>
          <t>IP-Телефоны</t>
        </is>
      </c>
      <c r="B87" s="4" t="inlineStr">
        <is>
          <t>IP телефон Grandstream GRP2601P</t>
        </is>
      </c>
      <c r="C87" s="5" t="inlineStr">
        <is>
          <t>Гарантия 1 мес.</t>
        </is>
      </c>
      <c r="D87" s="5" t="n">
        <v>768096</v>
      </c>
      <c r="E87" s="5" t="n">
        <v>685800</v>
      </c>
      <c r="F87" s="5" t="inlineStr"/>
      <c r="G87" s="5" t="inlineStr">
        <is>
          <t>Grandstream</t>
        </is>
      </c>
      <c r="H87" s="5">
        <f>HYPERLINK("https://itrix.uz/product/10", "🔗 Купить продукт")</f>
        <v/>
      </c>
      <c r="I87" t="inlineStr">
        <is>
          <t>6-10-265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2026-05-01T14:41:58Z</dcterms:created>
  <dcterms:modified xsi:type="dcterms:W3CDTF">2026-05-01T14:41:59Z</dcterms:modified>
</cp:coreProperties>
</file>