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Blade серверы" sheetId="1" state="visible" r:id="rId1"/>
    <sheet name="Сетевое оборудование" sheetId="2" state="visible" r:id="rId2"/>
    <sheet name="Межсетевые экраны (брандмауэр)" sheetId="3" state="visible" r:id="rId3"/>
    <sheet name="IP-оборудование" sheetId="4" state="visible" r:id="rId4"/>
    <sheet name="Точки доступа WiFi" sheetId="5" state="visible" r:id="rId5"/>
    <sheet name="Маршрутизаторы" sheetId="6" state="visible" r:id="rId6"/>
    <sheet name="Серверы" sheetId="7" state="visible" r:id="rId7"/>
    <sheet name="Комплектующие" sheetId="8" state="visible" r:id="rId8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#,##0 &quot;UZS&quot;"/>
  </numFmts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0" fillId="0" borderId="0" applyAlignment="1" pivotButton="0" quotePrefix="0" xfId="0">
      <alignment horizontal="center" vertical="center" wrapText="1"/>
    </xf>
    <xf numFmtId="164" fontId="0" fillId="0" borderId="0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  <xf numFmtId="164" fontId="1" fillId="0" borderId="1" applyAlignment="1" pivotButton="0" quotePrefix="0" xfId="0">
      <alignment horizontal="center" vertical="center" wrapText="1"/>
    </xf>
    <xf numFmtId="0" fontId="0" fillId="0" borderId="0" applyAlignment="1" pivotButton="0" quotePrefix="0" xfId="0">
      <alignment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styles" Target="styles.xml" Id="rId9" /><Relationship Type="http://schemas.openxmlformats.org/officeDocument/2006/relationships/theme" Target="theme/theme1.xml" Id="rId10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tabColor rgb="00D059EC"/>
    <outlinePr summaryBelow="1" summaryRight="1"/>
    <pageSetUpPr/>
  </sheetPr>
  <dimension ref="A1:G1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10" customWidth="1" min="6" max="6"/>
    <col width="25" customWidth="1" min="7" max="7"/>
  </cols>
  <sheetData>
    <row r="1" ht="30" customHeight="1">
      <c r="A1" s="1" t="n"/>
      <c r="B1" s="1" t="n"/>
      <c r="C1" s="2" t="n"/>
      <c r="D1" s="2" t="n"/>
      <c r="E1" s="2" t="n"/>
      <c r="F1" s="2" t="n"/>
      <c r="G1" s="2" t="n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tabColor rgb="00412576"/>
    <outlinePr summaryBelow="1" summaryRight="1"/>
    <pageSetUpPr/>
  </sheetPr>
  <dimension ref="A1:G91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10" customWidth="1" min="6" max="6"/>
    <col width="25" customWidth="1" min="7" max="7"/>
  </cols>
  <sheetData>
    <row r="1" ht="30" customHeight="1">
      <c r="A1" s="3" t="inlineStr">
        <is>
          <t>Категория</t>
        </is>
      </c>
      <c r="B1" s="3" t="inlineStr">
        <is>
          <t>Наименование</t>
        </is>
      </c>
      <c r="C1" s="4" t="inlineStr">
        <is>
          <t>Гарантия</t>
        </is>
      </c>
      <c r="D1" s="4" t="inlineStr">
        <is>
          <t>Цена с НДС</t>
        </is>
      </c>
      <c r="E1" s="4" t="inlineStr">
        <is>
          <t>Цена без НДС</t>
        </is>
      </c>
      <c r="F1" s="4" t="inlineStr">
        <is>
          <t>Бренд</t>
        </is>
      </c>
      <c r="G1" s="4" t="inlineStr">
        <is>
          <t>На сайте</t>
        </is>
      </c>
    </row>
    <row r="2" ht="30" customHeight="1">
      <c r="A2" s="5" t="inlineStr">
        <is>
          <t>Коммутаторы</t>
        </is>
      </c>
      <c r="B2" s="5" t="inlineStr">
        <is>
          <t>Aruba 6100 48G 4SFP+ Switch</t>
        </is>
      </c>
      <c r="C2" s="2" t="inlineStr"/>
      <c r="D2" s="2" t="n">
        <v>728000</v>
      </c>
      <c r="E2" s="2" t="n">
        <v>650000</v>
      </c>
      <c r="F2" s="2" t="inlineStr">
        <is>
          <t>HPE</t>
        </is>
      </c>
      <c r="G2" s="2">
        <f>HYPERLINK("https://itrix.uz/product/163", "🔗 Купить продукт")</f>
        <v/>
      </c>
    </row>
    <row r="3" ht="30" customHeight="1">
      <c r="A3" s="5" t="inlineStr">
        <is>
          <t>Коммутаторы</t>
        </is>
      </c>
      <c r="B3" s="5" t="inlineStr">
        <is>
          <t>Aruba IOn 1960 24G 2XT 2XF 370W</t>
        </is>
      </c>
      <c r="C3" s="2" t="inlineStr"/>
      <c r="D3" s="2" t="n">
        <v>728000</v>
      </c>
      <c r="E3" s="2" t="n">
        <v>650000</v>
      </c>
      <c r="F3" s="2" t="inlineStr">
        <is>
          <t>HPE</t>
        </is>
      </c>
      <c r="G3" s="2">
        <f>HYPERLINK("https://itrix.uz/product/165", "🔗 Купить продукт")</f>
        <v/>
      </c>
    </row>
    <row r="4" ht="30" customHeight="1">
      <c r="A4" s="5" t="inlineStr">
        <is>
          <t>Патч-корды медные</t>
        </is>
      </c>
      <c r="B4" s="5" t="inlineStr">
        <is>
          <t>Патч-корд Cat 5e,FTP,RJ45, 26AWG ,7/0.16 Cu, 5.00 m, LSZH,Grey</t>
        </is>
      </c>
      <c r="C4" s="2" t="inlineStr"/>
      <c r="D4" s="2" t="n">
        <v>145600</v>
      </c>
      <c r="E4" s="2" t="n">
        <v>130000</v>
      </c>
      <c r="F4" s="2" t="inlineStr"/>
      <c r="G4" s="2">
        <f>HYPERLINK("https://itrix.uz/product/259", "🔗 Купить продукт")</f>
        <v/>
      </c>
    </row>
    <row r="5" ht="30" customHeight="1">
      <c r="A5" s="5" t="inlineStr">
        <is>
          <t>Коммутаторы</t>
        </is>
      </c>
      <c r="B5" s="5" t="inlineStr">
        <is>
          <t>Aruba IOn 1960 48G 2XT 2XF Sw</t>
        </is>
      </c>
      <c r="C5" s="2" t="inlineStr"/>
      <c r="D5" s="2" t="n">
        <v>728000</v>
      </c>
      <c r="E5" s="2" t="n">
        <v>650000</v>
      </c>
      <c r="F5" s="2" t="inlineStr">
        <is>
          <t>HPE</t>
        </is>
      </c>
      <c r="G5" s="2">
        <f>HYPERLINK("https://itrix.uz/product/168", "🔗 Купить продукт")</f>
        <v/>
      </c>
    </row>
    <row r="6">
      <c r="A6" s="5" t="inlineStr">
        <is>
          <t>Коммутаторы</t>
        </is>
      </c>
      <c r="B6" s="5" t="inlineStr">
        <is>
          <t>L2 POE + H3C S5120V2-28P-PWR-LI L2 Ethernet Switch with 24*10/100/1000Base-T PoE+ Ports(AC 185W) and 4*1000Base-X Ports,(AC)</t>
        </is>
      </c>
      <c r="C6" s="2" t="inlineStr"/>
      <c r="D6" s="2" t="n">
        <v>728000</v>
      </c>
      <c r="E6" s="2" t="n">
        <v>650000</v>
      </c>
      <c r="F6" s="2" t="inlineStr">
        <is>
          <t>H3C</t>
        </is>
      </c>
      <c r="G6" s="2">
        <f>HYPERLINK("https://itrix.uz/product/203", "🔗 Купить продукт")</f>
        <v/>
      </c>
    </row>
    <row r="7" ht="30" customHeight="1">
      <c r="A7" s="5" t="inlineStr">
        <is>
          <t>Сетевые хранилища (NAS) и системы хранения данных (DSS)</t>
        </is>
      </c>
      <c r="B7" s="5" t="inlineStr">
        <is>
          <t>Сетевое хранилище NAS Synology DS220+</t>
        </is>
      </c>
      <c r="C7" s="2" t="inlineStr"/>
      <c r="D7" s="2" t="n">
        <v>728000</v>
      </c>
      <c r="E7" s="2" t="n">
        <v>650000</v>
      </c>
      <c r="F7" s="2" t="inlineStr">
        <is>
          <t>Synology</t>
        </is>
      </c>
      <c r="G7" s="2">
        <f>HYPERLINK("https://itrix.uz/product/264", "🔗 Купить продукт")</f>
        <v/>
      </c>
    </row>
    <row r="8" ht="30" customHeight="1">
      <c r="A8" s="5" t="inlineStr">
        <is>
          <t>Сетевые хранилища (NAS) и системы хранения данных (DSS)</t>
        </is>
      </c>
      <c r="B8" s="5" t="inlineStr">
        <is>
          <t>Сетевое хранилище NAS Synology DS423+</t>
        </is>
      </c>
      <c r="C8" s="2" t="inlineStr"/>
      <c r="D8" s="2" t="n">
        <v>728000</v>
      </c>
      <c r="E8" s="2" t="n">
        <v>650000</v>
      </c>
      <c r="F8" s="2" t="inlineStr">
        <is>
          <t>Synology</t>
        </is>
      </c>
      <c r="G8" s="2">
        <f>HYPERLINK("https://itrix.uz/product/265", "🔗 Купить продукт")</f>
        <v/>
      </c>
    </row>
    <row r="9" ht="30" customHeight="1">
      <c r="A9" s="5" t="inlineStr">
        <is>
          <t>Коммутаторы</t>
        </is>
      </c>
      <c r="B9" s="5" t="inlineStr">
        <is>
          <t>HPE Aruba 2930F 48G PoE+ 4SFP Switch (JL262A)</t>
        </is>
      </c>
      <c r="C9" s="2" t="inlineStr"/>
      <c r="D9" s="2" t="n">
        <v>728000</v>
      </c>
      <c r="E9" s="2" t="n">
        <v>650000</v>
      </c>
      <c r="F9" s="2" t="inlineStr">
        <is>
          <t>HPE</t>
        </is>
      </c>
      <c r="G9" s="2">
        <f>HYPERLINK("https://itrix.uz/product/170", "🔗 Купить продукт")</f>
        <v/>
      </c>
    </row>
    <row r="10" ht="30" customHeight="1">
      <c r="A10" s="5" t="inlineStr">
        <is>
          <t>Коммутаторы</t>
        </is>
      </c>
      <c r="B10" s="5" t="inlineStr">
        <is>
          <t>Fortinet FortiSwitch 108F-FPOE</t>
        </is>
      </c>
      <c r="C10" s="2" t="inlineStr"/>
      <c r="D10" s="2" t="n">
        <v>728000</v>
      </c>
      <c r="E10" s="2" t="n">
        <v>650000</v>
      </c>
      <c r="F10" s="2" t="inlineStr">
        <is>
          <t>Fortinet</t>
        </is>
      </c>
      <c r="G10" s="2">
        <f>HYPERLINK("https://itrix.uz/product/175", "🔗 Купить продукт")</f>
        <v/>
      </c>
    </row>
    <row r="11" ht="30" customHeight="1">
      <c r="A11" s="5" t="inlineStr">
        <is>
          <t>Сетевые хранилища (NAS) и системы хранения данных (DSS)</t>
        </is>
      </c>
      <c r="B11" s="5" t="inlineStr">
        <is>
          <t>Сетевое хранилище NAS Synology DS1522+</t>
        </is>
      </c>
      <c r="C11" s="2" t="inlineStr"/>
      <c r="D11" s="2" t="n">
        <v>728000</v>
      </c>
      <c r="E11" s="2" t="n">
        <v>650000</v>
      </c>
      <c r="F11" s="2" t="inlineStr">
        <is>
          <t>Synology</t>
        </is>
      </c>
      <c r="G11" s="2">
        <f>HYPERLINK("https://itrix.uz/product/267", "🔗 Купить продукт")</f>
        <v/>
      </c>
    </row>
    <row r="12" ht="30" customHeight="1">
      <c r="A12" s="5" t="inlineStr">
        <is>
          <t>Сетевые хранилища (NAS) и системы хранения данных (DSS)</t>
        </is>
      </c>
      <c r="B12" s="5" t="inlineStr">
        <is>
          <t>Сетевое хранилище NAS Synology DS1621+</t>
        </is>
      </c>
      <c r="C12" s="2" t="inlineStr"/>
      <c r="D12" s="2" t="n">
        <v>728000</v>
      </c>
      <c r="E12" s="2" t="n">
        <v>650000</v>
      </c>
      <c r="F12" s="2" t="inlineStr">
        <is>
          <t>Synology</t>
        </is>
      </c>
      <c r="G12" s="2">
        <f>HYPERLINK("https://itrix.uz/product/268", "🔗 Купить продукт")</f>
        <v/>
      </c>
    </row>
    <row r="13" ht="30" customHeight="1">
      <c r="A13" s="5" t="inlineStr">
        <is>
          <t>Коммутаторы</t>
        </is>
      </c>
      <c r="B13" s="5" t="inlineStr">
        <is>
          <t>Ubiquiti EdgeSwitch 8-150W (ES-8-150W) PoE</t>
        </is>
      </c>
      <c r="C13" s="2" t="inlineStr"/>
      <c r="D13" s="2" t="n">
        <v>728000</v>
      </c>
      <c r="E13" s="2" t="n">
        <v>650000</v>
      </c>
      <c r="F13" s="2" t="inlineStr">
        <is>
          <t>UniFi UBIQUITI</t>
        </is>
      </c>
      <c r="G13" s="2">
        <f>HYPERLINK("https://itrix.uz/product/179", "🔗 Купить продукт")</f>
        <v/>
      </c>
    </row>
    <row r="14" ht="30" customHeight="1">
      <c r="A14" s="5" t="inlineStr">
        <is>
          <t>Коммутаторы</t>
        </is>
      </c>
      <c r="B14" s="5" t="inlineStr">
        <is>
          <t>Управляемый PoE коммутатор уровня L2 H3C S5170-28S-HPWR-EI</t>
        </is>
      </c>
      <c r="C14" s="2" t="inlineStr"/>
      <c r="D14" s="2" t="n">
        <v>728000</v>
      </c>
      <c r="E14" s="2" t="n">
        <v>650000</v>
      </c>
      <c r="F14" s="2" t="inlineStr">
        <is>
          <t>H3C</t>
        </is>
      </c>
      <c r="G14" s="2">
        <f>HYPERLINK("https://itrix.uz/product/211", "🔗 Купить продукт")</f>
        <v/>
      </c>
    </row>
    <row r="15" ht="30" customHeight="1">
      <c r="A15" s="5" t="inlineStr">
        <is>
          <t>Сетевое оборудование</t>
        </is>
      </c>
      <c r="B15" s="5" t="inlineStr">
        <is>
          <t>NAS сетевой накопитель Synology DS1520+</t>
        </is>
      </c>
      <c r="C15" s="2" t="inlineStr"/>
      <c r="D15" s="2" t="n">
        <v>728000</v>
      </c>
      <c r="E15" s="2" t="n">
        <v>650000</v>
      </c>
      <c r="F15" s="2" t="inlineStr">
        <is>
          <t>Synology</t>
        </is>
      </c>
      <c r="G15" s="2">
        <f>HYPERLINK("https://itrix.uz/product/271", "🔗 Купить продукт")</f>
        <v/>
      </c>
    </row>
    <row r="16" ht="30" customHeight="1">
      <c r="A16" s="5" t="inlineStr">
        <is>
          <t>Коммутаторы</t>
        </is>
      </c>
      <c r="B16" s="5" t="inlineStr">
        <is>
          <t>Ubiquiti UniFi Switch PoE US-24-250W</t>
        </is>
      </c>
      <c r="C16" s="2" t="inlineStr"/>
      <c r="D16" s="2" t="n">
        <v>728000</v>
      </c>
      <c r="E16" s="2" t="n">
        <v>650000</v>
      </c>
      <c r="F16" s="2" t="inlineStr">
        <is>
          <t>UniFi UBIQUITI</t>
        </is>
      </c>
      <c r="G16" s="2">
        <f>HYPERLINK("https://itrix.uz/product/182", "🔗 Купить продукт")</f>
        <v/>
      </c>
    </row>
    <row r="17" ht="30" customHeight="1">
      <c r="A17" s="5" t="inlineStr">
        <is>
          <t>Сетевые хранилища (NAS) и системы хранения данных (DSS)</t>
        </is>
      </c>
      <c r="B17" s="5" t="inlineStr">
        <is>
          <t>Сетевое хранилище NAS Synology DS920+</t>
        </is>
      </c>
      <c r="C17" s="2" t="inlineStr"/>
      <c r="D17" s="2" t="n">
        <v>728000</v>
      </c>
      <c r="E17" s="2" t="n">
        <v>650000</v>
      </c>
      <c r="F17" s="2" t="inlineStr">
        <is>
          <t>Synology</t>
        </is>
      </c>
      <c r="G17" s="2">
        <f>HYPERLINK("https://itrix.uz/product/276", "🔗 Купить продукт")</f>
        <v/>
      </c>
    </row>
    <row r="18" ht="30" customHeight="1">
      <c r="A18" s="5" t="inlineStr">
        <is>
          <t>Коммутаторы</t>
        </is>
      </c>
      <c r="B18" s="5" t="inlineStr">
        <is>
          <t>Ubiquiti UniFi Switch PoE US-8-150W</t>
        </is>
      </c>
      <c r="C18" s="2" t="inlineStr"/>
      <c r="D18" s="2" t="n">
        <v>728000</v>
      </c>
      <c r="E18" s="2" t="n">
        <v>650000</v>
      </c>
      <c r="F18" s="2" t="inlineStr">
        <is>
          <t>UniFi UBIQUITI</t>
        </is>
      </c>
      <c r="G18" s="2">
        <f>HYPERLINK("https://itrix.uz/product/184", "🔗 Купить продукт")</f>
        <v/>
      </c>
    </row>
    <row r="19" ht="30" customHeight="1">
      <c r="A19" s="5" t="inlineStr">
        <is>
          <t>Коммутаторы</t>
        </is>
      </c>
      <c r="B19" s="5" t="inlineStr">
        <is>
          <t>Ubiquiti UniFi Switch PoE USW-48-POE-EU</t>
        </is>
      </c>
      <c r="C19" s="2" t="inlineStr"/>
      <c r="D19" s="2" t="n">
        <v>728000</v>
      </c>
      <c r="E19" s="2" t="n">
        <v>650000</v>
      </c>
      <c r="F19" s="2" t="inlineStr">
        <is>
          <t>UniFi UBIQUITI</t>
        </is>
      </c>
      <c r="G19" s="2">
        <f>HYPERLINK("https://itrix.uz/product/187", "🔗 Купить продукт")</f>
        <v/>
      </c>
    </row>
    <row r="20" ht="30" customHeight="1">
      <c r="A20" s="5" t="inlineStr">
        <is>
          <t>Сетевое оборудование</t>
        </is>
      </c>
      <c r="B20" s="5" t="inlineStr">
        <is>
          <t>Набор для крепления в стойку Synology RKS1317</t>
        </is>
      </c>
      <c r="C20" s="2" t="inlineStr"/>
      <c r="D20" s="2" t="n">
        <v>728000</v>
      </c>
      <c r="E20" s="2" t="n">
        <v>650000</v>
      </c>
      <c r="F20" s="2" t="inlineStr">
        <is>
          <t>Synology</t>
        </is>
      </c>
      <c r="G20" s="2">
        <f>HYPERLINK("https://itrix.uz/product/281", "🔗 Купить продукт")</f>
        <v/>
      </c>
    </row>
    <row r="21" ht="30" customHeight="1">
      <c r="A21" s="5" t="inlineStr">
        <is>
          <t>Коммутаторы</t>
        </is>
      </c>
      <c r="B21" s="5" t="inlineStr">
        <is>
          <t>Ubiquiti UniFi Switch USW-48-EU</t>
        </is>
      </c>
      <c r="C21" s="2" t="inlineStr"/>
      <c r="D21" s="2" t="n">
        <v>728000</v>
      </c>
      <c r="E21" s="2" t="n">
        <v>650000</v>
      </c>
      <c r="F21" s="2" t="inlineStr">
        <is>
          <t>UniFi UBIQUITI</t>
        </is>
      </c>
      <c r="G21" s="2">
        <f>HYPERLINK("https://itrix.uz/product/189", "🔗 Купить продукт")</f>
        <v/>
      </c>
    </row>
    <row r="22" ht="30" customHeight="1">
      <c r="A22" s="5" t="inlineStr">
        <is>
          <t>Коммутаторы</t>
        </is>
      </c>
      <c r="B22" s="5" t="inlineStr">
        <is>
          <t>Ubiquiti UniFi Switch USW-PRO-48-EU</t>
        </is>
      </c>
      <c r="C22" s="2" t="inlineStr"/>
      <c r="D22" s="2" t="n">
        <v>728000</v>
      </c>
      <c r="E22" s="2" t="n">
        <v>650000</v>
      </c>
      <c r="F22" s="2" t="inlineStr">
        <is>
          <t>UniFi UBIQUITI</t>
        </is>
      </c>
      <c r="G22" s="2">
        <f>HYPERLINK("https://itrix.uz/product/191", "🔗 Купить продукт")</f>
        <v/>
      </c>
    </row>
    <row r="23" ht="30" customHeight="1">
      <c r="A23" s="5" t="inlineStr">
        <is>
          <t>Коммутаторы</t>
        </is>
      </c>
      <c r="B23" s="5" t="inlineStr">
        <is>
          <t>UniFi Switch Pro 24 PoE</t>
        </is>
      </c>
      <c r="C23" s="2" t="inlineStr"/>
      <c r="D23" s="2" t="n">
        <v>728000</v>
      </c>
      <c r="E23" s="2" t="n">
        <v>650000</v>
      </c>
      <c r="F23" s="2" t="inlineStr">
        <is>
          <t>UniFi UBIQUITI</t>
        </is>
      </c>
      <c r="G23" s="2">
        <f>HYPERLINK("https://itrix.uz/product/194", "🔗 Купить продукт")</f>
        <v/>
      </c>
    </row>
    <row r="24" ht="30" customHeight="1">
      <c r="A24" s="5" t="inlineStr">
        <is>
          <t>Коммутаторы</t>
        </is>
      </c>
      <c r="B24" s="5" t="inlineStr">
        <is>
          <t>L2 POE H3C S1850-28P-PWR 28-Port Gigabit Ethernet Switch(24GE+4SFP+PoE,AC)</t>
        </is>
      </c>
      <c r="C24" s="2" t="inlineStr"/>
      <c r="D24" s="2" t="n">
        <v>728000</v>
      </c>
      <c r="E24" s="2" t="n">
        <v>650000</v>
      </c>
      <c r="F24" s="2" t="inlineStr">
        <is>
          <t>H3C</t>
        </is>
      </c>
      <c r="G24" s="2">
        <f>HYPERLINK("https://itrix.uz/product/206", "🔗 Купить продукт")</f>
        <v/>
      </c>
    </row>
    <row r="25" ht="30" customHeight="1">
      <c r="A25" s="5" t="inlineStr">
        <is>
          <t>Коммутаторы</t>
        </is>
      </c>
      <c r="B25" s="5" t="inlineStr">
        <is>
          <t>Fortinet FortiSwitch FS-148F-FPOE</t>
        </is>
      </c>
      <c r="C25" s="2" t="inlineStr"/>
      <c r="D25" s="2" t="n">
        <v>728000</v>
      </c>
      <c r="E25" s="2" t="n">
        <v>650000</v>
      </c>
      <c r="F25" s="2" t="inlineStr">
        <is>
          <t>Fortinet</t>
        </is>
      </c>
      <c r="G25" s="2">
        <f>HYPERLINK("https://itrix.uz/product/177", "🔗 Купить продукт")</f>
        <v/>
      </c>
    </row>
    <row r="26" ht="30" customHeight="1">
      <c r="A26" s="5" t="inlineStr">
        <is>
          <t>Коммутаторы</t>
        </is>
      </c>
      <c r="B26" s="5" t="inlineStr">
        <is>
          <t>Ubiquiti EdgeRouter X SFP</t>
        </is>
      </c>
      <c r="C26" s="2" t="inlineStr"/>
      <c r="D26" s="2" t="n">
        <v>728000</v>
      </c>
      <c r="E26" s="2" t="n">
        <v>650000</v>
      </c>
      <c r="F26" s="2" t="inlineStr">
        <is>
          <t>UniFi UBIQUITI</t>
        </is>
      </c>
      <c r="G26" s="2">
        <f>HYPERLINK("https://itrix.uz/product/178", "🔗 Купить продукт")</f>
        <v/>
      </c>
    </row>
    <row r="27" ht="30" customHeight="1">
      <c r="A27" s="5" t="inlineStr">
        <is>
          <t>Патч-корды медные</t>
        </is>
      </c>
      <c r="B27" s="5" t="inlineStr">
        <is>
          <t>Патч-корд Cat 5e,FTP,RJ45, 26AWG ,7/0.16 Cu, 2.00 m, LSZH,Grey</t>
        </is>
      </c>
      <c r="C27" s="2" t="inlineStr"/>
      <c r="D27" s="2" t="n">
        <v>145600</v>
      </c>
      <c r="E27" s="2" t="n">
        <v>130000</v>
      </c>
      <c r="F27" s="2" t="inlineStr"/>
      <c r="G27" s="2">
        <f>HYPERLINK("https://itrix.uz/product/257", "🔗 Купить продукт")</f>
        <v/>
      </c>
    </row>
    <row r="28">
      <c r="A28" s="5" t="inlineStr">
        <is>
          <t>Коммутаторы</t>
        </is>
      </c>
      <c r="B28" s="5" t="inlineStr">
        <is>
          <t>L2 POE + H3C S5024PV3-EI-PWR L2 Ethernet Switch with 24*10/100/1000Base-T PoE+ Ports and 4*1000Base-X Ports,(AC)</t>
        </is>
      </c>
      <c r="C28" s="2" t="inlineStr"/>
      <c r="D28" s="2" t="n">
        <v>728000</v>
      </c>
      <c r="E28" s="2" t="n">
        <v>650000</v>
      </c>
      <c r="F28" s="2" t="inlineStr">
        <is>
          <t>H3C</t>
        </is>
      </c>
      <c r="G28" s="2">
        <f>HYPERLINK("https://itrix.uz/product/202", "🔗 Купить продукт")</f>
        <v/>
      </c>
    </row>
    <row r="29" ht="30" customHeight="1">
      <c r="A29" s="5" t="inlineStr">
        <is>
          <t>Коммутаторы</t>
        </is>
      </c>
      <c r="B29" s="5" t="inlineStr">
        <is>
          <t>Управляемый PoE коммутатор уровня L2 H3C S5170-54S-EI</t>
        </is>
      </c>
      <c r="C29" s="2" t="inlineStr"/>
      <c r="D29" s="2" t="n">
        <v>728000</v>
      </c>
      <c r="E29" s="2" t="n">
        <v>650000</v>
      </c>
      <c r="F29" s="2" t="inlineStr">
        <is>
          <t>H3C</t>
        </is>
      </c>
      <c r="G29" s="2">
        <f>HYPERLINK("https://itrix.uz/product/212", "🔗 Купить продукт")</f>
        <v/>
      </c>
    </row>
    <row r="30" ht="30" customHeight="1">
      <c r="A30" s="5" t="inlineStr">
        <is>
          <t>Коммутаторы</t>
        </is>
      </c>
      <c r="B30" s="5" t="inlineStr">
        <is>
          <t>Управляемый PoE коммутатор уровня L2 H3C-S5170-54S-PWR-EI</t>
        </is>
      </c>
      <c r="C30" s="2" t="inlineStr"/>
      <c r="D30" s="2" t="n">
        <v>728000</v>
      </c>
      <c r="E30" s="2" t="n">
        <v>650000</v>
      </c>
      <c r="F30" s="2" t="inlineStr">
        <is>
          <t>H3C</t>
        </is>
      </c>
      <c r="G30" s="2">
        <f>HYPERLINK("https://itrix.uz/product/213", "🔗 Купить продукт")</f>
        <v/>
      </c>
    </row>
    <row r="31" ht="30" customHeight="1">
      <c r="A31" s="5" t="inlineStr">
        <is>
          <t>Коммутаторы</t>
        </is>
      </c>
      <c r="B31" s="5" t="inlineStr">
        <is>
          <t>Aruba 6100 24G Class4 PoE 4SFP+ 370W Switch</t>
        </is>
      </c>
      <c r="C31" s="2" t="inlineStr"/>
      <c r="D31" s="2" t="n">
        <v>728000</v>
      </c>
      <c r="E31" s="2" t="n">
        <v>650000</v>
      </c>
      <c r="F31" s="2" t="inlineStr">
        <is>
          <t>HPE</t>
        </is>
      </c>
      <c r="G31" s="2">
        <f>HYPERLINK("https://itrix.uz/product/162", "🔗 Купить продукт")</f>
        <v/>
      </c>
    </row>
    <row r="32" ht="30" customHeight="1">
      <c r="A32" s="5" t="inlineStr">
        <is>
          <t>Коммутаторы</t>
        </is>
      </c>
      <c r="B32" s="5" t="inlineStr">
        <is>
          <t>Zyxel GS-105BV3-EU0101F</t>
        </is>
      </c>
      <c r="C32" s="2" t="inlineStr"/>
      <c r="D32" s="2" t="n">
        <v>728000</v>
      </c>
      <c r="E32" s="2" t="n">
        <v>650000</v>
      </c>
      <c r="F32" s="2" t="inlineStr">
        <is>
          <t>Zyxel</t>
        </is>
      </c>
      <c r="G32" s="2">
        <f>HYPERLINK("https://itrix.uz/product/219", "🔗 Купить продукт")</f>
        <v/>
      </c>
    </row>
    <row r="33" ht="30" customHeight="1">
      <c r="A33" s="5" t="inlineStr">
        <is>
          <t>Коммутаторы</t>
        </is>
      </c>
      <c r="B33" s="5" t="inlineStr">
        <is>
          <t>Aruba 2930F 48G PoE+ 4SFP+ JL256A</t>
        </is>
      </c>
      <c r="C33" s="2" t="inlineStr"/>
      <c r="D33" s="2" t="n">
        <v>728000</v>
      </c>
      <c r="E33" s="2" t="n">
        <v>650000</v>
      </c>
      <c r="F33" s="2" t="inlineStr">
        <is>
          <t>HPE</t>
        </is>
      </c>
      <c r="G33" s="2">
        <f>HYPERLINK("https://itrix.uz/product/161", "🔗 Купить продукт")</f>
        <v/>
      </c>
    </row>
    <row r="34" ht="30" customHeight="1">
      <c r="A34" s="5" t="inlineStr">
        <is>
          <t>Коммутаторы</t>
        </is>
      </c>
      <c r="B34" s="5" t="inlineStr">
        <is>
          <t>Aruba IOn 1960 24G 2XT 2XF Sw</t>
        </is>
      </c>
      <c r="C34" s="2" t="inlineStr"/>
      <c r="D34" s="2" t="n">
        <v>728000</v>
      </c>
      <c r="E34" s="2" t="n">
        <v>650000</v>
      </c>
      <c r="F34" s="2" t="inlineStr">
        <is>
          <t>HPE</t>
        </is>
      </c>
      <c r="G34" s="2">
        <f>HYPERLINK("https://itrix.uz/product/166", "🔗 Купить продукт")</f>
        <v/>
      </c>
    </row>
    <row r="35" ht="30" customHeight="1">
      <c r="A35" s="5" t="inlineStr">
        <is>
          <t>Коммутаторы</t>
        </is>
      </c>
      <c r="B35" s="5" t="inlineStr">
        <is>
          <t>Aruba IOn 1930 24G 4SFP+ 195W Sw</t>
        </is>
      </c>
      <c r="C35" s="2" t="inlineStr"/>
      <c r="D35" s="2" t="n">
        <v>728000</v>
      </c>
      <c r="E35" s="2" t="n">
        <v>650000</v>
      </c>
      <c r="F35" s="2" t="inlineStr">
        <is>
          <t>HPE</t>
        </is>
      </c>
      <c r="G35" s="2">
        <f>HYPERLINK("https://itrix.uz/product/164", "🔗 Купить продукт")</f>
        <v/>
      </c>
    </row>
    <row r="36" ht="30" customHeight="1">
      <c r="A36" s="5" t="inlineStr">
        <is>
          <t>Коммутаторы</t>
        </is>
      </c>
      <c r="B36" s="5" t="inlineStr">
        <is>
          <t>Aruba IOn 1960 48G 2XT 2XF 600WSw</t>
        </is>
      </c>
      <c r="C36" s="2" t="inlineStr"/>
      <c r="D36" s="2" t="n">
        <v>728000</v>
      </c>
      <c r="E36" s="2" t="n">
        <v>650000</v>
      </c>
      <c r="F36" s="2" t="inlineStr">
        <is>
          <t>HPE</t>
        </is>
      </c>
      <c r="G36" s="2">
        <f>HYPERLINK("https://itrix.uz/product/167", "🔗 Купить продукт")</f>
        <v/>
      </c>
    </row>
    <row r="37" ht="30" customHeight="1">
      <c r="A37" s="5" t="inlineStr">
        <is>
          <t>Коммутаторы</t>
        </is>
      </c>
      <c r="B37" s="5" t="inlineStr">
        <is>
          <t>HPE Aruba 2930F 24G PoE+ 4SFP+ JL255A</t>
        </is>
      </c>
      <c r="C37" s="2" t="inlineStr"/>
      <c r="D37" s="2" t="n">
        <v>728000</v>
      </c>
      <c r="E37" s="2" t="n">
        <v>650000</v>
      </c>
      <c r="F37" s="2" t="inlineStr">
        <is>
          <t>HPE</t>
        </is>
      </c>
      <c r="G37" s="2">
        <f>HYPERLINK("https://itrix.uz/product/169", "🔗 Купить продукт")</f>
        <v/>
      </c>
    </row>
    <row r="38" ht="30" customHeight="1">
      <c r="A38" s="5" t="inlineStr">
        <is>
          <t>Коммутаторы</t>
        </is>
      </c>
      <c r="B38" s="5" t="inlineStr">
        <is>
          <t>HPE Aruba IOn 1930 24G 4SFP+ 195W (JL683B)</t>
        </is>
      </c>
      <c r="C38" s="2" t="inlineStr"/>
      <c r="D38" s="2" t="n">
        <v>728000</v>
      </c>
      <c r="E38" s="2" t="n">
        <v>650000</v>
      </c>
      <c r="F38" s="2" t="inlineStr">
        <is>
          <t>HPE</t>
        </is>
      </c>
      <c r="G38" s="2">
        <f>HYPERLINK("https://itrix.uz/product/171", "🔗 Купить продукт")</f>
        <v/>
      </c>
    </row>
    <row r="39" ht="30" customHeight="1">
      <c r="A39" s="5" t="inlineStr">
        <is>
          <t>Коммутаторы</t>
        </is>
      </c>
      <c r="B39" s="5" t="inlineStr">
        <is>
          <t>HPE Aruba IOn 1930 24G 4SFP+ 370W (JL684B)</t>
        </is>
      </c>
      <c r="C39" s="2" t="inlineStr"/>
      <c r="D39" s="2" t="n">
        <v>728000</v>
      </c>
      <c r="E39" s="2" t="n">
        <v>650000</v>
      </c>
      <c r="F39" s="2" t="inlineStr">
        <is>
          <t>HPE</t>
        </is>
      </c>
      <c r="G39" s="2">
        <f>HYPERLINK("https://itrix.uz/product/172", "🔗 Купить продукт")</f>
        <v/>
      </c>
    </row>
    <row r="40" ht="30" customHeight="1">
      <c r="A40" s="5" t="inlineStr">
        <is>
          <t>Коммутаторы</t>
        </is>
      </c>
      <c r="B40" s="5" t="inlineStr">
        <is>
          <t>HPE Aruba IOn 1930 48G 4SFP+ 370W (JL686B)</t>
        </is>
      </c>
      <c r="C40" s="2" t="inlineStr"/>
      <c r="D40" s="2" t="n">
        <v>728000</v>
      </c>
      <c r="E40" s="2" t="n">
        <v>650000</v>
      </c>
      <c r="F40" s="2" t="inlineStr">
        <is>
          <t>HPE</t>
        </is>
      </c>
      <c r="G40" s="2">
        <f>HYPERLINK("https://itrix.uz/product/173", "🔗 Купить продукт")</f>
        <v/>
      </c>
    </row>
    <row r="41" ht="30" customHeight="1">
      <c r="A41" s="5" t="inlineStr">
        <is>
          <t>Коммутаторы</t>
        </is>
      </c>
      <c r="B41" s="5" t="inlineStr">
        <is>
          <t>Aruba IOn 1930 24G 4SFP+ 370W Sw</t>
        </is>
      </c>
      <c r="C41" s="2" t="inlineStr"/>
      <c r="D41" s="2" t="n">
        <v>728000</v>
      </c>
      <c r="E41" s="2" t="n">
        <v>650000</v>
      </c>
      <c r="F41" s="2" t="inlineStr">
        <is>
          <t>HPE</t>
        </is>
      </c>
      <c r="G41" s="2">
        <f>HYPERLINK("https://itrix.uz/product/174", "🔗 Купить продукт")</f>
        <v/>
      </c>
    </row>
    <row r="42" ht="30" customHeight="1">
      <c r="A42" s="5" t="inlineStr">
        <is>
          <t>Коммутаторы</t>
        </is>
      </c>
      <c r="B42" s="5" t="inlineStr">
        <is>
          <t>Fortinet FortiSwitch FS-124F-FPOE</t>
        </is>
      </c>
      <c r="C42" s="2" t="inlineStr"/>
      <c r="D42" s="2" t="n">
        <v>728000</v>
      </c>
      <c r="E42" s="2" t="n">
        <v>650000</v>
      </c>
      <c r="F42" s="2" t="inlineStr">
        <is>
          <t>Fortinet</t>
        </is>
      </c>
      <c r="G42" s="2">
        <f>HYPERLINK("https://itrix.uz/product/176", "🔗 Купить продукт")</f>
        <v/>
      </c>
    </row>
    <row r="43" ht="30" customHeight="1">
      <c r="A43" s="5" t="inlineStr">
        <is>
          <t>Коммутаторы</t>
        </is>
      </c>
      <c r="B43" s="5" t="inlineStr">
        <is>
          <t>Ubiquiti UniFi Switch Lite 8 PoE</t>
        </is>
      </c>
      <c r="C43" s="2" t="inlineStr"/>
      <c r="D43" s="2" t="n">
        <v>728000</v>
      </c>
      <c r="E43" s="2" t="n">
        <v>650000</v>
      </c>
      <c r="F43" s="2" t="inlineStr">
        <is>
          <t>UniFi UBIQUITI</t>
        </is>
      </c>
      <c r="G43" s="2">
        <f>HYPERLINK("https://itrix.uz/product/180", "🔗 Купить продукт")</f>
        <v/>
      </c>
    </row>
    <row r="44" ht="30" customHeight="1">
      <c r="A44" s="5" t="inlineStr">
        <is>
          <t>Коммутаторы</t>
        </is>
      </c>
      <c r="B44" s="5" t="inlineStr">
        <is>
          <t>Ubiquiti UniFi Switch PoE US-16-150W</t>
        </is>
      </c>
      <c r="C44" s="2" t="inlineStr"/>
      <c r="D44" s="2" t="n">
        <v>728000</v>
      </c>
      <c r="E44" s="2" t="n">
        <v>650000</v>
      </c>
      <c r="F44" s="2" t="inlineStr">
        <is>
          <t>UniFi UBIQUITI</t>
        </is>
      </c>
      <c r="G44" s="2">
        <f>HYPERLINK("https://itrix.uz/product/181", "🔗 Купить продукт")</f>
        <v/>
      </c>
    </row>
    <row r="45" ht="30" customHeight="1">
      <c r="A45" s="5" t="inlineStr">
        <is>
          <t>Коммутаторы</t>
        </is>
      </c>
      <c r="B45" s="5" t="inlineStr">
        <is>
          <t>Ubiquiti UniFi Switch PoE US-48-500W</t>
        </is>
      </c>
      <c r="C45" s="2" t="inlineStr"/>
      <c r="D45" s="2" t="n">
        <v>728000</v>
      </c>
      <c r="E45" s="2" t="n">
        <v>650000</v>
      </c>
      <c r="F45" s="2" t="inlineStr">
        <is>
          <t>UniFi UBIQUITI</t>
        </is>
      </c>
      <c r="G45" s="2">
        <f>HYPERLINK("https://itrix.uz/product/183", "🔗 Купить продукт")</f>
        <v/>
      </c>
    </row>
    <row r="46" ht="30" customHeight="1">
      <c r="A46" s="5" t="inlineStr">
        <is>
          <t>Коммутаторы</t>
        </is>
      </c>
      <c r="B46" s="5" t="inlineStr">
        <is>
          <t>Ubiquiti UniFi Switch PoE USW-16-POE-EU</t>
        </is>
      </c>
      <c r="C46" s="2" t="inlineStr"/>
      <c r="D46" s="2" t="n">
        <v>728000</v>
      </c>
      <c r="E46" s="2" t="n">
        <v>650000</v>
      </c>
      <c r="F46" s="2" t="inlineStr">
        <is>
          <t>UniFi UBIQUITI</t>
        </is>
      </c>
      <c r="G46" s="2">
        <f>HYPERLINK("https://itrix.uz/product/185", "🔗 Купить продукт")</f>
        <v/>
      </c>
    </row>
    <row r="47" ht="30" customHeight="1">
      <c r="A47" s="5" t="inlineStr">
        <is>
          <t>Коммутаторы</t>
        </is>
      </c>
      <c r="B47" s="5" t="inlineStr">
        <is>
          <t>Ubiquiti UniFi Switch POE USW-24-POE-EU</t>
        </is>
      </c>
      <c r="C47" s="2" t="inlineStr"/>
      <c r="D47" s="2" t="n">
        <v>728000</v>
      </c>
      <c r="E47" s="2" t="n">
        <v>650000</v>
      </c>
      <c r="F47" s="2" t="inlineStr">
        <is>
          <t>UniFi UBIQUITI</t>
        </is>
      </c>
      <c r="G47" s="2">
        <f>HYPERLINK("https://itrix.uz/product/186", "🔗 Купить продукт")</f>
        <v/>
      </c>
    </row>
    <row r="48" ht="30" customHeight="1">
      <c r="A48" s="5" t="inlineStr">
        <is>
          <t>Коммутаторы</t>
        </is>
      </c>
      <c r="B48" s="5" t="inlineStr">
        <is>
          <t>Ubiquiti UniFi Switch USW-24-EU</t>
        </is>
      </c>
      <c r="C48" s="2" t="inlineStr"/>
      <c r="D48" s="2" t="n">
        <v>728000</v>
      </c>
      <c r="E48" s="2" t="n">
        <v>650000</v>
      </c>
      <c r="F48" s="2" t="inlineStr">
        <is>
          <t>UniFi UBIQUITI</t>
        </is>
      </c>
      <c r="G48" s="2">
        <f>HYPERLINK("https://itrix.uz/product/188", "🔗 Купить продукт")</f>
        <v/>
      </c>
    </row>
    <row r="49" ht="30" customHeight="1">
      <c r="A49" s="5" t="inlineStr">
        <is>
          <t>Коммутаторы</t>
        </is>
      </c>
      <c r="B49" s="5" t="inlineStr">
        <is>
          <t>Ubiquiti UniFi Switch USW-PRO-24-EU</t>
        </is>
      </c>
      <c r="C49" s="2" t="inlineStr"/>
      <c r="D49" s="2" t="n">
        <v>728000</v>
      </c>
      <c r="E49" s="2" t="n">
        <v>650000</v>
      </c>
      <c r="F49" s="2" t="inlineStr">
        <is>
          <t>UniFi UBIQUITI</t>
        </is>
      </c>
      <c r="G49" s="2">
        <f>HYPERLINK("https://itrix.uz/product/190", "🔗 Купить продукт")</f>
        <v/>
      </c>
    </row>
    <row r="50" ht="30" customHeight="1">
      <c r="A50" s="5" t="inlineStr">
        <is>
          <t>Коммутаторы</t>
        </is>
      </c>
      <c r="B50" s="5" t="inlineStr">
        <is>
          <t>UniFi Compact 5Port Gigabit Switch 5-Pack</t>
        </is>
      </c>
      <c r="C50" s="2" t="inlineStr"/>
      <c r="D50" s="2" t="n">
        <v>728000</v>
      </c>
      <c r="E50" s="2" t="n">
        <v>650000</v>
      </c>
      <c r="F50" s="2" t="inlineStr">
        <is>
          <t>UniFi UBIQUITI</t>
        </is>
      </c>
      <c r="G50" s="2">
        <f>HYPERLINK("https://itrix.uz/product/192", "🔗 Купить продукт")</f>
        <v/>
      </c>
    </row>
    <row r="51" ht="30" customHeight="1">
      <c r="A51" s="5" t="inlineStr">
        <is>
          <t>Коммутаторы</t>
        </is>
      </c>
      <c r="B51" s="5" t="inlineStr">
        <is>
          <t>UniFi Switch Lite 16 PoE</t>
        </is>
      </c>
      <c r="C51" s="2" t="inlineStr"/>
      <c r="D51" s="2" t="n">
        <v>728000</v>
      </c>
      <c r="E51" s="2" t="n">
        <v>650000</v>
      </c>
      <c r="F51" s="2" t="inlineStr">
        <is>
          <t>UniFi UBIQUITI</t>
        </is>
      </c>
      <c r="G51" s="2">
        <f>HYPERLINK("https://itrix.uz/product/193", "🔗 Купить продукт")</f>
        <v/>
      </c>
    </row>
    <row r="52" ht="30" customHeight="1">
      <c r="A52" s="5" t="inlineStr">
        <is>
          <t>Коммутаторы</t>
        </is>
      </c>
      <c r="B52" s="5" t="inlineStr">
        <is>
          <t>UniFi Switch Pro 48 PoE</t>
        </is>
      </c>
      <c r="C52" s="2" t="inlineStr"/>
      <c r="D52" s="2" t="n">
        <v>728000</v>
      </c>
      <c r="E52" s="2" t="n">
        <v>650000</v>
      </c>
      <c r="F52" s="2" t="inlineStr">
        <is>
          <t>UniFi UBIQUITI</t>
        </is>
      </c>
      <c r="G52" s="2">
        <f>HYPERLINK("https://itrix.uz/product/195", "🔗 Купить продукт")</f>
        <v/>
      </c>
    </row>
    <row r="53" ht="30" customHeight="1">
      <c r="A53" s="5" t="inlineStr">
        <is>
          <t>Коммутаторы</t>
        </is>
      </c>
      <c r="B53" s="5" t="inlineStr">
        <is>
          <t>L2 H3C S1850-28P 28-Port Gigabit Ethernet Switch(24GE+4SFP)</t>
        </is>
      </c>
      <c r="C53" s="2" t="inlineStr"/>
      <c r="D53" s="2" t="n">
        <v>728000</v>
      </c>
      <c r="E53" s="2" t="n">
        <v>650000</v>
      </c>
      <c r="F53" s="2" t="inlineStr">
        <is>
          <t>H3C</t>
        </is>
      </c>
      <c r="G53" s="2">
        <f>HYPERLINK("https://itrix.uz/product/196", "🔗 Купить продукт")</f>
        <v/>
      </c>
    </row>
    <row r="54" ht="30" customHeight="1">
      <c r="A54" s="5" t="inlineStr">
        <is>
          <t>Коммутаторы</t>
        </is>
      </c>
      <c r="B54" s="5" t="inlineStr">
        <is>
          <t>L2 H3C S1850-52P 52-Port Gigabit Ethernet Switch(48GE+4SFP)</t>
        </is>
      </c>
      <c r="C54" s="2" t="inlineStr"/>
      <c r="D54" s="2" t="n">
        <v>728000</v>
      </c>
      <c r="E54" s="2" t="n">
        <v>650000</v>
      </c>
      <c r="F54" s="2" t="inlineStr">
        <is>
          <t>H3C</t>
        </is>
      </c>
      <c r="G54" s="2">
        <f>HYPERLINK("https://itrix.uz/product/197", "🔗 Купить продукт")</f>
        <v/>
      </c>
    </row>
    <row r="55">
      <c r="A55" s="5" t="inlineStr">
        <is>
          <t>Коммутаторы</t>
        </is>
      </c>
      <c r="B55" s="5" t="inlineStr">
        <is>
          <t>L2 H3C S1850V2-10P-EI L2 Ethernet Switch with 8*10/100/1000BASE-T Ports and 2*1000BASE-X SFP Ports,(AC)</t>
        </is>
      </c>
      <c r="C55" s="2" t="inlineStr"/>
      <c r="D55" s="2" t="n">
        <v>728000</v>
      </c>
      <c r="E55" s="2" t="n">
        <v>650000</v>
      </c>
      <c r="F55" s="2" t="inlineStr">
        <is>
          <t>H3C</t>
        </is>
      </c>
      <c r="G55" s="2">
        <f>HYPERLINK("https://itrix.uz/product/198", "🔗 Купить продукт")</f>
        <v/>
      </c>
    </row>
    <row r="56">
      <c r="A56" s="5" t="inlineStr">
        <is>
          <t>Коммутаторы</t>
        </is>
      </c>
      <c r="B56" s="5" t="inlineStr">
        <is>
          <t>L2 H3C S1850V2-28X L2 Ethernet Switch with 24*10/100/1000BASE-T Ports and 4*1G/10G BASE-X SFP Plus Ports,(AC)</t>
        </is>
      </c>
      <c r="C56" s="2" t="inlineStr"/>
      <c r="D56" s="2" t="n">
        <v>728000</v>
      </c>
      <c r="E56" s="2" t="n">
        <v>650000</v>
      </c>
      <c r="F56" s="2" t="inlineStr">
        <is>
          <t>H3C</t>
        </is>
      </c>
      <c r="G56" s="2">
        <f>HYPERLINK("https://itrix.uz/product/199", "🔗 Купить продукт")</f>
        <v/>
      </c>
    </row>
    <row r="57">
      <c r="A57" s="5" t="inlineStr">
        <is>
          <t>Коммутаторы</t>
        </is>
      </c>
      <c r="B57" s="5" t="inlineStr">
        <is>
          <t>L2 H3C S5120V2-20P-LI L2 Ethernet Switch with 16*10/100/1000Base-T Ports and 4*1000Base-X SFP Ports,(AC)</t>
        </is>
      </c>
      <c r="C57" s="2" t="inlineStr"/>
      <c r="D57" s="2" t="n">
        <v>728000</v>
      </c>
      <c r="E57" s="2" t="n">
        <v>650000</v>
      </c>
      <c r="F57" s="2" t="inlineStr">
        <is>
          <t>H3C</t>
        </is>
      </c>
      <c r="G57" s="2">
        <f>HYPERLINK("https://itrix.uz/product/200", "🔗 Купить продукт")</f>
        <v/>
      </c>
    </row>
    <row r="58">
      <c r="A58" s="5" t="inlineStr">
        <is>
          <t>Коммутаторы</t>
        </is>
      </c>
      <c r="B58" s="5" t="inlineStr">
        <is>
          <t xml:space="preserve"> L2 H3C S5130S-28S-LI L2 Ethernet Switch with 24*10/100/1000Base-T Ports and 4*1G/10G Base-X SFP Plus Ports,(AC)</t>
        </is>
      </c>
      <c r="C58" s="2" t="inlineStr"/>
      <c r="D58" s="2" t="n">
        <v>728000</v>
      </c>
      <c r="E58" s="2" t="n">
        <v>650000</v>
      </c>
      <c r="F58" s="2" t="inlineStr">
        <is>
          <t>H3C</t>
        </is>
      </c>
      <c r="G58" s="2">
        <f>HYPERLINK("https://itrix.uz/product/201", "🔗 Купить продукт")</f>
        <v/>
      </c>
    </row>
    <row r="59">
      <c r="A59" s="5" t="inlineStr">
        <is>
          <t>Коммутаторы</t>
        </is>
      </c>
      <c r="B59" s="5" t="inlineStr">
        <is>
          <t>L2 POE + H3C S5024PV3-EI-PWR L2 Ethernet Switch with 24*10/100/1000Base-T PoE+ Ports and 4*1000Base-X Ports,(AC)</t>
        </is>
      </c>
      <c r="C59" s="2" t="inlineStr"/>
      <c r="D59" s="2" t="n">
        <v>728000</v>
      </c>
      <c r="E59" s="2" t="n">
        <v>650000</v>
      </c>
      <c r="F59" s="2" t="inlineStr">
        <is>
          <t>H3C</t>
        </is>
      </c>
      <c r="G59" s="2">
        <f>HYPERLINK("https://itrix.uz/product/204", "🔗 Купить продукт")</f>
        <v/>
      </c>
    </row>
    <row r="60">
      <c r="A60" s="5" t="inlineStr">
        <is>
          <t>Коммутаторы</t>
        </is>
      </c>
      <c r="B60" s="5" t="inlineStr">
        <is>
          <t>L2 POE + H3C S5120V2-28P-PWR-LI L2 Ethernet Switch with 24*10/100/1000Base-T PoE+ Ports(AC 185W) and 4*1000Base-X Ports,(AC)</t>
        </is>
      </c>
      <c r="C60" s="2" t="inlineStr"/>
      <c r="D60" s="2" t="n">
        <v>728000</v>
      </c>
      <c r="E60" s="2" t="n">
        <v>650000</v>
      </c>
      <c r="F60" s="2" t="inlineStr">
        <is>
          <t>H3C</t>
        </is>
      </c>
      <c r="G60" s="2">
        <f>HYPERLINK("https://itrix.uz/product/205", "🔗 Купить продукт")</f>
        <v/>
      </c>
    </row>
    <row r="61">
      <c r="A61" s="5" t="inlineStr">
        <is>
          <t>Коммутаторы</t>
        </is>
      </c>
      <c r="B61" s="5" t="inlineStr">
        <is>
          <t>L3 FX H3C S5560S-52F-EI L3 Ethernet Switch with 48*100/1000 BASE-X SFP Ports, 2*GE Combo Ports, and 4*1G/10G BASE-X SFP Plus Ports</t>
        </is>
      </c>
      <c r="C61" s="2" t="inlineStr"/>
      <c r="D61" s="2" t="n">
        <v>728000</v>
      </c>
      <c r="E61" s="2" t="n">
        <v>650000</v>
      </c>
      <c r="F61" s="2" t="inlineStr">
        <is>
          <t>H3C</t>
        </is>
      </c>
      <c r="G61" s="2">
        <f>HYPERLINK("https://itrix.uz/product/207", "🔗 Купить продукт")</f>
        <v/>
      </c>
    </row>
    <row r="62">
      <c r="A62" s="5" t="inlineStr">
        <is>
          <t>Коммутаторы</t>
        </is>
      </c>
      <c r="B62" s="5" t="inlineStr">
        <is>
          <t>L3 H3C S5120V3-28P-LI L3 Ethernet Switch with 24*10/100/1000BASE-T Ports and 4*1000BASE-X SFP Ports,(AC)</t>
        </is>
      </c>
      <c r="C62" s="2" t="inlineStr"/>
      <c r="D62" s="2" t="n">
        <v>728000</v>
      </c>
      <c r="E62" s="2" t="n">
        <v>650000</v>
      </c>
      <c r="F62" s="2" t="inlineStr">
        <is>
          <t>H3C</t>
        </is>
      </c>
      <c r="G62" s="2">
        <f>HYPERLINK("https://itrix.uz/product/208", "🔗 Купить продукт")</f>
        <v/>
      </c>
    </row>
    <row r="63" ht="30" customHeight="1">
      <c r="A63" s="5" t="inlineStr">
        <is>
          <t>Коммутаторы</t>
        </is>
      </c>
      <c r="B63" s="5" t="inlineStr">
        <is>
          <t>Коммутатор Zyxel GS1008HP</t>
        </is>
      </c>
      <c r="C63" s="2" t="inlineStr"/>
      <c r="D63" s="2" t="n">
        <v>728000</v>
      </c>
      <c r="E63" s="2" t="n">
        <v>650000</v>
      </c>
      <c r="F63" s="2" t="inlineStr">
        <is>
          <t>Zyxel</t>
        </is>
      </c>
      <c r="G63" s="2">
        <f>HYPERLINK("https://itrix.uz/product/220", "🔗 Купить продукт")</f>
        <v/>
      </c>
    </row>
    <row r="64" ht="30" customHeight="1">
      <c r="A64" s="5" t="inlineStr">
        <is>
          <t>Коммутаторы</t>
        </is>
      </c>
      <c r="B64" s="5" t="inlineStr">
        <is>
          <t>Управляемый PoE коммутатор уровня L3 H3C-S5560S-52S-SI</t>
        </is>
      </c>
      <c r="C64" s="2" t="inlineStr"/>
      <c r="D64" s="2" t="n">
        <v>728000</v>
      </c>
      <c r="E64" s="2" t="n">
        <v>650000</v>
      </c>
      <c r="F64" s="2" t="inlineStr">
        <is>
          <t>H3C</t>
        </is>
      </c>
      <c r="G64" s="2">
        <f>HYPERLINK("https://itrix.uz/product/214", "🔗 Купить продукт")</f>
        <v/>
      </c>
    </row>
    <row r="65" ht="30" customHeight="1">
      <c r="A65" s="5" t="inlineStr">
        <is>
          <t>Коммутаторы</t>
        </is>
      </c>
      <c r="B65" s="5" t="inlineStr">
        <is>
          <t>Управляемый PoE коммутатор уровня L3 H3C-S6520X-26C-SI</t>
        </is>
      </c>
      <c r="C65" s="2" t="inlineStr"/>
      <c r="D65" s="2" t="n">
        <v>728000</v>
      </c>
      <c r="E65" s="2" t="n">
        <v>650000</v>
      </c>
      <c r="F65" s="2" t="inlineStr">
        <is>
          <t>H3C</t>
        </is>
      </c>
      <c r="G65" s="2">
        <f>HYPERLINK("https://itrix.uz/product/215", "🔗 Купить продукт")</f>
        <v/>
      </c>
    </row>
    <row r="66" ht="30" customHeight="1">
      <c r="A66" s="5" t="inlineStr">
        <is>
          <t>Коммутаторы</t>
        </is>
      </c>
      <c r="B66" s="5" t="inlineStr">
        <is>
          <t>Управляемый коммутатор уровня 2 H3C-S5024PV3-EI</t>
        </is>
      </c>
      <c r="C66" s="2" t="inlineStr"/>
      <c r="D66" s="2" t="n">
        <v>728000</v>
      </c>
      <c r="E66" s="2" t="n">
        <v>650000</v>
      </c>
      <c r="F66" s="2" t="inlineStr">
        <is>
          <t>H3C</t>
        </is>
      </c>
      <c r="G66" s="2">
        <f>HYPERLINK("https://itrix.uz/product/216", "🔗 Купить продукт")</f>
        <v/>
      </c>
    </row>
    <row r="67" ht="30" customHeight="1">
      <c r="A67" s="5" t="inlineStr">
        <is>
          <t>Коммутаторы</t>
        </is>
      </c>
      <c r="B67" s="5" t="inlineStr">
        <is>
          <t>H3C S5170-28S-EI L2+ 24х10/100/1000TX + 4xSFP+</t>
        </is>
      </c>
      <c r="C67" s="2" t="inlineStr"/>
      <c r="D67" s="2" t="n">
        <v>728000</v>
      </c>
      <c r="E67" s="2" t="n">
        <v>650000</v>
      </c>
      <c r="F67" s="2" t="inlineStr">
        <is>
          <t>H3C</t>
        </is>
      </c>
      <c r="G67" s="2">
        <f>HYPERLINK("https://itrix.uz/product/217", "🔗 Купить продукт")</f>
        <v/>
      </c>
    </row>
    <row r="68" ht="30" customHeight="1">
      <c r="A68" s="5" t="inlineStr">
        <is>
          <t>Коммутаторы</t>
        </is>
      </c>
      <c r="B68" s="5" t="inlineStr">
        <is>
          <t>L3 H3C S6520X-16XT-SI 10/100/1000BASE-T/SFP и 2 порта SFP+</t>
        </is>
      </c>
      <c r="C68" s="2" t="inlineStr"/>
      <c r="D68" s="2" t="n">
        <v>728000</v>
      </c>
      <c r="E68" s="2" t="n">
        <v>650000</v>
      </c>
      <c r="F68" s="2" t="inlineStr">
        <is>
          <t>H3C</t>
        </is>
      </c>
      <c r="G68" s="2">
        <f>HYPERLINK("https://itrix.uz/product/218", "🔗 Купить продукт")</f>
        <v/>
      </c>
    </row>
    <row r="69" ht="30" customHeight="1">
      <c r="A69" s="5" t="inlineStr">
        <is>
          <t>Коммутаторы</t>
        </is>
      </c>
      <c r="B69" s="5" t="inlineStr">
        <is>
          <t>Zyxel GS1300-10HP</t>
        </is>
      </c>
      <c r="C69" s="2" t="inlineStr"/>
      <c r="D69" s="2" t="n">
        <v>728000</v>
      </c>
      <c r="E69" s="2" t="n">
        <v>650000</v>
      </c>
      <c r="F69" s="2" t="inlineStr">
        <is>
          <t>Zyxel</t>
        </is>
      </c>
      <c r="G69" s="2">
        <f>HYPERLINK("https://itrix.uz/product/221", "🔗 Купить продукт")</f>
        <v/>
      </c>
    </row>
    <row r="70" ht="30" customHeight="1">
      <c r="A70" s="5" t="inlineStr">
        <is>
          <t>Коммутаторы</t>
        </is>
      </c>
      <c r="B70" s="5" t="inlineStr">
        <is>
          <t>Zyxel GS1350-12HP</t>
        </is>
      </c>
      <c r="C70" s="2" t="inlineStr"/>
      <c r="D70" s="2" t="n">
        <v>728000</v>
      </c>
      <c r="E70" s="2" t="n">
        <v>650000</v>
      </c>
      <c r="F70" s="2" t="inlineStr">
        <is>
          <t>Zyxel</t>
        </is>
      </c>
      <c r="G70" s="2">
        <f>HYPERLINK("https://itrix.uz/product/222", "🔗 Купить продукт")</f>
        <v/>
      </c>
    </row>
    <row r="71" ht="30" customHeight="1">
      <c r="A71" s="5" t="inlineStr">
        <is>
          <t>Коммутаторы</t>
        </is>
      </c>
      <c r="B71" s="5" t="inlineStr">
        <is>
          <t>Zyxel GS1350-26HP-EU0101F</t>
        </is>
      </c>
      <c r="C71" s="2" t="inlineStr"/>
      <c r="D71" s="2" t="n">
        <v>728000</v>
      </c>
      <c r="E71" s="2" t="n">
        <v>650000</v>
      </c>
      <c r="F71" s="2" t="inlineStr">
        <is>
          <t>Zyxel</t>
        </is>
      </c>
      <c r="G71" s="2">
        <f>HYPERLINK("https://itrix.uz/product/224", "🔗 Купить продукт")</f>
        <v/>
      </c>
    </row>
    <row r="72" ht="30" customHeight="1">
      <c r="A72" s="5" t="inlineStr">
        <is>
          <t>Коммутаторы</t>
        </is>
      </c>
      <c r="B72" s="5" t="inlineStr">
        <is>
          <t>Zyxel GS1350-18HP</t>
        </is>
      </c>
      <c r="C72" s="2" t="inlineStr"/>
      <c r="D72" s="2" t="n">
        <v>728000</v>
      </c>
      <c r="E72" s="2" t="n">
        <v>650000</v>
      </c>
      <c r="F72" s="2" t="inlineStr">
        <is>
          <t>Zyxel</t>
        </is>
      </c>
      <c r="G72" s="2">
        <f>HYPERLINK("https://itrix.uz/product/223", "🔗 Купить продукт")</f>
        <v/>
      </c>
    </row>
    <row r="73" ht="30" customHeight="1">
      <c r="A73" s="5" t="inlineStr">
        <is>
          <t>Коммутаторы</t>
        </is>
      </c>
      <c r="B73" s="5" t="inlineStr">
        <is>
          <t>Zyxel GS1350-6HP</t>
        </is>
      </c>
      <c r="C73" s="2" t="inlineStr"/>
      <c r="D73" s="2" t="n">
        <v>728000</v>
      </c>
      <c r="E73" s="2" t="n">
        <v>650000</v>
      </c>
      <c r="F73" s="2" t="inlineStr">
        <is>
          <t>Zyxel</t>
        </is>
      </c>
      <c r="G73" s="2">
        <f>HYPERLINK("https://itrix.uz/product/225", "🔗 Купить продукт")</f>
        <v/>
      </c>
    </row>
    <row r="74" ht="30" customHeight="1">
      <c r="A74" s="5" t="inlineStr">
        <is>
          <t>Патч-корды медные</t>
        </is>
      </c>
      <c r="B74" s="5" t="inlineStr">
        <is>
          <t>Патч-корд Cat 5e,FTP,RJ45, 26AWG ,7/0.16 Cu, 1.00 m, LSZH,Grey</t>
        </is>
      </c>
      <c r="C74" s="2" t="inlineStr"/>
      <c r="D74" s="2" t="n">
        <v>145600</v>
      </c>
      <c r="E74" s="2" t="n">
        <v>130000</v>
      </c>
      <c r="F74" s="2" t="inlineStr"/>
      <c r="G74" s="2">
        <f>HYPERLINK("https://itrix.uz/product/256", "🔗 Купить продукт")</f>
        <v/>
      </c>
    </row>
    <row r="75" ht="30" customHeight="1">
      <c r="A75" s="5" t="inlineStr">
        <is>
          <t>Патч-корды медные</t>
        </is>
      </c>
      <c r="B75" s="5" t="inlineStr">
        <is>
          <t>Патч-корд Cat 6,FTP,RJ45, 26AWG ,7/0.16 Cu, 3.00 m, LSZH,Grey</t>
        </is>
      </c>
      <c r="C75" s="2" t="inlineStr"/>
      <c r="D75" s="2" t="n">
        <v>145600</v>
      </c>
      <c r="E75" s="2" t="n">
        <v>130000</v>
      </c>
      <c r="F75" s="2" t="inlineStr"/>
      <c r="G75" s="2">
        <f>HYPERLINK("https://itrix.uz/product/262", "🔗 Купить продукт")</f>
        <v/>
      </c>
    </row>
    <row r="76" ht="30" customHeight="1">
      <c r="A76" s="5" t="inlineStr">
        <is>
          <t>Патч-корды медные</t>
        </is>
      </c>
      <c r="B76" s="5" t="inlineStr">
        <is>
          <t>Патч-корд Cat 6,FTP,RJ45, 26AWG ,7/0.16 Cu, 1.00 m, LSZH,Grey</t>
        </is>
      </c>
      <c r="C76" s="2" t="inlineStr"/>
      <c r="D76" s="2" t="n">
        <v>145600</v>
      </c>
      <c r="E76" s="2" t="n">
        <v>130000</v>
      </c>
      <c r="F76" s="2" t="inlineStr"/>
      <c r="G76" s="2">
        <f>HYPERLINK("https://itrix.uz/product/260", "🔗 Купить продукт")</f>
        <v/>
      </c>
    </row>
    <row r="77" ht="30" customHeight="1">
      <c r="A77" s="5" t="inlineStr">
        <is>
          <t>Патч-корды медные</t>
        </is>
      </c>
      <c r="B77" s="5" t="inlineStr">
        <is>
          <t>Патч-корд Cat 6,FTP,RJ45, 26AWG ,7/0.16 Cu, 2.00 m, LSZH,Grey</t>
        </is>
      </c>
      <c r="C77" s="2" t="inlineStr"/>
      <c r="D77" s="2" t="n">
        <v>145600</v>
      </c>
      <c r="E77" s="2" t="n">
        <v>130000</v>
      </c>
      <c r="F77" s="2" t="inlineStr"/>
      <c r="G77" s="2">
        <f>HYPERLINK("https://itrix.uz/product/261", "🔗 Купить продукт")</f>
        <v/>
      </c>
    </row>
    <row r="78" ht="30" customHeight="1">
      <c r="A78" s="5" t="inlineStr">
        <is>
          <t>Патч-корды медные</t>
        </is>
      </c>
      <c r="B78" s="5" t="inlineStr">
        <is>
          <t>Патч-корд Cat 6,FTP,RJ45, 26AWG ,7/0.16 Cu, 5.00 m, LSZH,Grey</t>
        </is>
      </c>
      <c r="C78" s="2" t="inlineStr"/>
      <c r="D78" s="2" t="n">
        <v>145600</v>
      </c>
      <c r="E78" s="2" t="n">
        <v>130000</v>
      </c>
      <c r="F78" s="2" t="inlineStr"/>
      <c r="G78" s="2">
        <f>HYPERLINK("https://itrix.uz/product/263", "🔗 Купить продукт")</f>
        <v/>
      </c>
    </row>
    <row r="79" ht="30" customHeight="1">
      <c r="A79" s="5" t="inlineStr">
        <is>
          <t>Сетевые хранилища (NAS) и системы хранения данных (DSS)</t>
        </is>
      </c>
      <c r="B79" s="5" t="inlineStr">
        <is>
          <t>Сетевое хранилище NAS Synology DS923+</t>
        </is>
      </c>
      <c r="C79" s="2" t="inlineStr"/>
      <c r="D79" s="2" t="n">
        <v>728000</v>
      </c>
      <c r="E79" s="2" t="n">
        <v>650000</v>
      </c>
      <c r="F79" s="2" t="inlineStr">
        <is>
          <t>Synology</t>
        </is>
      </c>
      <c r="G79" s="2">
        <f>HYPERLINK("https://itrix.uz/product/266", "🔗 Купить продукт")</f>
        <v/>
      </c>
    </row>
    <row r="80" ht="30" customHeight="1">
      <c r="A80" s="5" t="inlineStr">
        <is>
          <t>Сетевое оборудование</t>
        </is>
      </c>
      <c r="B80" s="5" t="inlineStr">
        <is>
          <t>Сетевая карта  Ethernet Synology 10GbE BASE-T</t>
        </is>
      </c>
      <c r="C80" s="2" t="inlineStr"/>
      <c r="D80" s="2" t="n">
        <v>728000</v>
      </c>
      <c r="E80" s="2" t="n">
        <v>650000</v>
      </c>
      <c r="F80" s="2" t="inlineStr">
        <is>
          <t>Synology</t>
        </is>
      </c>
      <c r="G80" s="2">
        <f>HYPERLINK("https://itrix.uz/product/269", "🔗 Купить продукт")</f>
        <v/>
      </c>
    </row>
    <row r="81" ht="30" customHeight="1">
      <c r="A81" s="5" t="inlineStr">
        <is>
          <t>Сетевое оборудование</t>
        </is>
      </c>
      <c r="B81" s="5" t="inlineStr">
        <is>
          <t>NAS сетевой накопитель Synology DS1019+</t>
        </is>
      </c>
      <c r="C81" s="2" t="inlineStr"/>
      <c r="D81" s="2" t="n">
        <v>728000</v>
      </c>
      <c r="E81" s="2" t="n">
        <v>650000</v>
      </c>
      <c r="F81" s="2" t="inlineStr">
        <is>
          <t>Synology</t>
        </is>
      </c>
      <c r="G81" s="2">
        <f>HYPERLINK("https://itrix.uz/product/270", "🔗 Купить продукт")</f>
        <v/>
      </c>
    </row>
    <row r="82" ht="30" customHeight="1">
      <c r="A82" s="5" t="inlineStr">
        <is>
          <t>Сетевые хранилища (NAS) и системы хранения данных (DSS)</t>
        </is>
      </c>
      <c r="B82" s="5" t="inlineStr">
        <is>
          <t>Сетевое хранилище NAS Synology DS420+</t>
        </is>
      </c>
      <c r="C82" s="2" t="inlineStr"/>
      <c r="D82" s="2" t="n">
        <v>728000</v>
      </c>
      <c r="E82" s="2" t="n">
        <v>650000</v>
      </c>
      <c r="F82" s="2" t="inlineStr">
        <is>
          <t>Synology</t>
        </is>
      </c>
      <c r="G82" s="2">
        <f>HYPERLINK("https://itrix.uz/product/275", "🔗 Купить продукт")</f>
        <v/>
      </c>
    </row>
    <row r="83" ht="30" customHeight="1">
      <c r="A83" s="5" t="inlineStr">
        <is>
          <t>Сетевое оборудование</t>
        </is>
      </c>
      <c r="B83" s="5" t="inlineStr">
        <is>
          <t>NAS сетевой накопитель Synology DS1819+</t>
        </is>
      </c>
      <c r="C83" s="2" t="inlineStr"/>
      <c r="D83" s="2" t="n">
        <v>728000</v>
      </c>
      <c r="E83" s="2" t="n">
        <v>650000</v>
      </c>
      <c r="F83" s="2" t="inlineStr">
        <is>
          <t>Synology</t>
        </is>
      </c>
      <c r="G83" s="2">
        <f>HYPERLINK("https://itrix.uz/product/272", "🔗 Купить продукт")</f>
        <v/>
      </c>
    </row>
    <row r="84" ht="30" customHeight="1">
      <c r="A84" s="5" t="inlineStr">
        <is>
          <t>Сетевое оборудование</t>
        </is>
      </c>
      <c r="B84" s="5" t="inlineStr">
        <is>
          <t>NAS сетевой накопитель Synology DS1821+</t>
        </is>
      </c>
      <c r="C84" s="2" t="inlineStr"/>
      <c r="D84" s="2" t="n">
        <v>728000</v>
      </c>
      <c r="E84" s="2" t="n">
        <v>650000</v>
      </c>
      <c r="F84" s="2" t="inlineStr">
        <is>
          <t>Synology</t>
        </is>
      </c>
      <c r="G84" s="2">
        <f>HYPERLINK("https://itrix.uz/product/273", "🔗 Купить продукт")</f>
        <v/>
      </c>
    </row>
    <row r="85" ht="30" customHeight="1">
      <c r="A85" s="5" t="inlineStr">
        <is>
          <t>Сетевое оборудование</t>
        </is>
      </c>
      <c r="B85" s="5" t="inlineStr">
        <is>
          <t>NAS сетевой накопитель Synology DS220J</t>
        </is>
      </c>
      <c r="C85" s="2" t="inlineStr"/>
      <c r="D85" s="2" t="n">
        <v>728000</v>
      </c>
      <c r="E85" s="2" t="n">
        <v>650000</v>
      </c>
      <c r="F85" s="2" t="inlineStr">
        <is>
          <t>Synology</t>
        </is>
      </c>
      <c r="G85" s="2">
        <f>HYPERLINK("https://itrix.uz/product/274", "🔗 Купить продукт")</f>
        <v/>
      </c>
    </row>
    <row r="86" ht="30" customHeight="1">
      <c r="A86" s="5" t="inlineStr">
        <is>
          <t>Сетевое оборудование</t>
        </is>
      </c>
      <c r="B86" s="5" t="inlineStr">
        <is>
          <t>NAS сетевой накопитель Synology FlashStation FS6400</t>
        </is>
      </c>
      <c r="C86" s="2" t="inlineStr"/>
      <c r="D86" s="2" t="n">
        <v>728000</v>
      </c>
      <c r="E86" s="2" t="n">
        <v>650000</v>
      </c>
      <c r="F86" s="2" t="inlineStr">
        <is>
          <t>Synology</t>
        </is>
      </c>
      <c r="G86" s="2">
        <f>HYPERLINK("https://itrix.uz/product/277", "🔗 Купить продукт")</f>
        <v/>
      </c>
    </row>
    <row r="87" ht="30" customHeight="1">
      <c r="A87" s="5" t="inlineStr">
        <is>
          <t>Сетевое оборудование</t>
        </is>
      </c>
      <c r="B87" s="5" t="inlineStr">
        <is>
          <t>Synology RKS-02</t>
        </is>
      </c>
      <c r="C87" s="2" t="inlineStr"/>
      <c r="D87" s="2" t="n">
        <v>728000</v>
      </c>
      <c r="E87" s="2" t="n">
        <v>650000</v>
      </c>
      <c r="F87" s="2" t="inlineStr">
        <is>
          <t>Synology</t>
        </is>
      </c>
      <c r="G87" s="2">
        <f>HYPERLINK("https://itrix.uz/product/278", "🔗 Купить продукт")</f>
        <v/>
      </c>
    </row>
    <row r="88" ht="30" customHeight="1">
      <c r="A88" s="5" t="inlineStr">
        <is>
          <t>Сетевое оборудование</t>
        </is>
      </c>
      <c r="B88" s="5" t="inlineStr">
        <is>
          <t xml:space="preserve">NAS сетевой накопитель Synology RackStation RS2423+ </t>
        </is>
      </c>
      <c r="C88" s="2" t="inlineStr"/>
      <c r="D88" s="2" t="n">
        <v>728000</v>
      </c>
      <c r="E88" s="2" t="n">
        <v>650000</v>
      </c>
      <c r="F88" s="2" t="inlineStr">
        <is>
          <t>Synology</t>
        </is>
      </c>
      <c r="G88" s="2">
        <f>HYPERLINK("https://itrix.uz/product/279", "🔗 Купить продукт")</f>
        <v/>
      </c>
    </row>
    <row r="89" ht="30" customHeight="1">
      <c r="A89" s="5" t="inlineStr">
        <is>
          <t>Сетевое оборудование</t>
        </is>
      </c>
      <c r="B89" s="5" t="inlineStr">
        <is>
          <t>NAS сетевой накопитель Synology RS820RP+</t>
        </is>
      </c>
      <c r="C89" s="2" t="inlineStr"/>
      <c r="D89" s="2" t="n">
        <v>728000</v>
      </c>
      <c r="E89" s="2" t="n">
        <v>650000</v>
      </c>
      <c r="F89" s="2" t="inlineStr">
        <is>
          <t>Synology</t>
        </is>
      </c>
      <c r="G89" s="2">
        <f>HYPERLINK("https://itrix.uz/product/280", "🔗 Купить продукт")</f>
        <v/>
      </c>
    </row>
    <row r="90" ht="30" customHeight="1">
      <c r="A90" s="5" t="inlineStr">
        <is>
          <t>Сетевое оборудование</t>
        </is>
      </c>
      <c r="B90" s="5" t="inlineStr">
        <is>
          <t>Комплект направляющих для для стоечных устройств не более 2U</t>
        </is>
      </c>
      <c r="C90" s="2" t="inlineStr"/>
      <c r="D90" s="2" t="n">
        <v>728000</v>
      </c>
      <c r="E90" s="2" t="n">
        <v>650000</v>
      </c>
      <c r="F90" s="2" t="inlineStr"/>
      <c r="G90" s="2">
        <f>HYPERLINK("https://itrix.uz/product/282", "🔗 Купить продукт")</f>
        <v/>
      </c>
    </row>
    <row r="91" ht="30" customHeight="1">
      <c r="A91" s="5" t="inlineStr">
        <is>
          <t>Коммутаторы</t>
        </is>
      </c>
      <c r="B91" s="5" t="inlineStr">
        <is>
          <t>Aruba 2930F 24G PoE + 4SFP</t>
        </is>
      </c>
      <c r="C91" s="2" t="inlineStr"/>
      <c r="D91" s="2" t="n">
        <v>728000</v>
      </c>
      <c r="E91" s="2" t="n">
        <v>650000</v>
      </c>
      <c r="F91" s="2" t="inlineStr">
        <is>
          <t>HPE</t>
        </is>
      </c>
      <c r="G91" s="2">
        <f>HYPERLINK("https://itrix.uz/product/160", "🔗 Купить продукт")</f>
        <v/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tabColor rgb="00276255"/>
    <outlinePr summaryBelow="1" summaryRight="1"/>
    <pageSetUpPr/>
  </sheetPr>
  <dimension ref="A1:G7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10" customWidth="1" min="6" max="6"/>
    <col width="25" customWidth="1" min="7" max="7"/>
  </cols>
  <sheetData>
    <row r="1" ht="30" customHeight="1">
      <c r="A1" s="3" t="inlineStr">
        <is>
          <t>Категория</t>
        </is>
      </c>
      <c r="B1" s="3" t="inlineStr">
        <is>
          <t>Наименование</t>
        </is>
      </c>
      <c r="C1" s="4" t="inlineStr">
        <is>
          <t>Гарантия</t>
        </is>
      </c>
      <c r="D1" s="4" t="inlineStr">
        <is>
          <t>Цена с НДС</t>
        </is>
      </c>
      <c r="E1" s="4" t="inlineStr">
        <is>
          <t>Цена без НДС</t>
        </is>
      </c>
      <c r="F1" s="4" t="inlineStr">
        <is>
          <t>Бренд</t>
        </is>
      </c>
      <c r="G1" s="4" t="inlineStr">
        <is>
          <t>На сайте</t>
        </is>
      </c>
    </row>
    <row r="2" ht="30" customHeight="1">
      <c r="A2" s="5" t="inlineStr">
        <is>
          <t>Межсетевые экраны (брандмауэр)</t>
        </is>
      </c>
      <c r="B2" s="5" t="inlineStr">
        <is>
          <t>Межсетевой экран Zyxel USGFLEX100</t>
        </is>
      </c>
      <c r="C2" s="2" t="inlineStr"/>
      <c r="D2" s="2" t="n">
        <v>728000</v>
      </c>
      <c r="E2" s="2" t="n">
        <v>650000</v>
      </c>
      <c r="F2" s="2" t="inlineStr">
        <is>
          <t>Zyxel</t>
        </is>
      </c>
      <c r="G2" s="2">
        <f>HYPERLINK("https://itrix.uz/product/227", "🔗 Купить продукт")</f>
        <v/>
      </c>
    </row>
    <row r="3" ht="30" customHeight="1">
      <c r="A3" s="5" t="inlineStr">
        <is>
          <t>Межсетевые экраны (брандмауэр)</t>
        </is>
      </c>
      <c r="B3" s="5" t="inlineStr">
        <is>
          <t>Межсетевой экран Zyxel USGFLEX500</t>
        </is>
      </c>
      <c r="C3" s="2" t="inlineStr"/>
      <c r="D3" s="2" t="n">
        <v>728000</v>
      </c>
      <c r="E3" s="2" t="n">
        <v>650000</v>
      </c>
      <c r="F3" s="2" t="inlineStr">
        <is>
          <t>Zyxel</t>
        </is>
      </c>
      <c r="G3" s="2">
        <f>HYPERLINK("https://itrix.uz/product/228", "🔗 Купить продукт")</f>
        <v/>
      </c>
    </row>
    <row r="4" ht="30" customHeight="1">
      <c r="A4" s="5" t="inlineStr">
        <is>
          <t>Межсетевые экраны (брандмауэр)</t>
        </is>
      </c>
      <c r="B4" s="5" t="inlineStr">
        <is>
          <t>Межсетевой экран Zyxel USGFLEX700</t>
        </is>
      </c>
      <c r="C4" s="2" t="inlineStr"/>
      <c r="D4" s="2" t="n">
        <v>728000</v>
      </c>
      <c r="E4" s="2" t="n">
        <v>650000</v>
      </c>
      <c r="F4" s="2" t="inlineStr">
        <is>
          <t>Zyxel</t>
        </is>
      </c>
      <c r="G4" s="2">
        <f>HYPERLINK("https://itrix.uz/product/229", "🔗 Купить продукт")</f>
        <v/>
      </c>
    </row>
    <row r="5" ht="30" customHeight="1">
      <c r="A5" s="5" t="inlineStr">
        <is>
          <t>Межсетевые экраны (брандмауэр)</t>
        </is>
      </c>
      <c r="B5" s="5" t="inlineStr">
        <is>
          <t>Межсетевой экран Zyxel ATP700</t>
        </is>
      </c>
      <c r="C5" s="2" t="inlineStr"/>
      <c r="D5" s="2" t="n">
        <v>728000</v>
      </c>
      <c r="E5" s="2" t="n">
        <v>650000</v>
      </c>
      <c r="F5" s="2" t="inlineStr">
        <is>
          <t>Zyxel</t>
        </is>
      </c>
      <c r="G5" s="2">
        <f>HYPERLINK("https://itrix.uz/product/230", "🔗 Купить продукт")</f>
        <v/>
      </c>
    </row>
    <row r="6" ht="30" customHeight="1">
      <c r="A6" s="5" t="inlineStr">
        <is>
          <t>Межсетевые экраны (брандмауэр)</t>
        </is>
      </c>
      <c r="B6" s="5" t="inlineStr">
        <is>
          <t>Межсетевой экран Zyxel VPN2S-RU0101F</t>
        </is>
      </c>
      <c r="C6" s="2" t="inlineStr"/>
      <c r="D6" s="2" t="n">
        <v>728000</v>
      </c>
      <c r="E6" s="2" t="n">
        <v>650000</v>
      </c>
      <c r="F6" s="2" t="inlineStr">
        <is>
          <t>Zyxel</t>
        </is>
      </c>
      <c r="G6" s="2">
        <f>HYPERLINK("https://itrix.uz/product/226", "🔗 Купить продукт")</f>
        <v/>
      </c>
    </row>
    <row r="7" ht="30" customHeight="1">
      <c r="A7" s="5" t="inlineStr">
        <is>
          <t>Межсетевые экраны (брандмауэр)</t>
        </is>
      </c>
      <c r="B7" s="5" t="inlineStr">
        <is>
          <t>Межсетевой экран Zyxel ATP800</t>
        </is>
      </c>
      <c r="C7" s="2" t="inlineStr"/>
      <c r="D7" s="2" t="n">
        <v>728000</v>
      </c>
      <c r="E7" s="2" t="n">
        <v>650000</v>
      </c>
      <c r="F7" s="2" t="inlineStr">
        <is>
          <t>Zyxel</t>
        </is>
      </c>
      <c r="G7" s="2">
        <f>HYPERLINK("https://itrix.uz/product/231", "🔗 Купить продукт")</f>
        <v/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tabColor rgb="00D0911B"/>
    <outlinePr summaryBelow="1" summaryRight="1"/>
    <pageSetUpPr/>
  </sheetPr>
  <dimension ref="A1:G38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10" customWidth="1" min="6" max="6"/>
    <col width="25" customWidth="1" min="7" max="7"/>
  </cols>
  <sheetData>
    <row r="1" ht="30" customHeight="1">
      <c r="A1" s="3" t="inlineStr">
        <is>
          <t>Категория</t>
        </is>
      </c>
      <c r="B1" s="3" t="inlineStr">
        <is>
          <t>Наименование</t>
        </is>
      </c>
      <c r="C1" s="4" t="inlineStr">
        <is>
          <t>Гарантия</t>
        </is>
      </c>
      <c r="D1" s="4" t="inlineStr">
        <is>
          <t>Цена с НДС</t>
        </is>
      </c>
      <c r="E1" s="4" t="inlineStr">
        <is>
          <t>Цена без НДС</t>
        </is>
      </c>
      <c r="F1" s="4" t="inlineStr">
        <is>
          <t>Бренд</t>
        </is>
      </c>
      <c r="G1" s="4" t="inlineStr">
        <is>
          <t>На сайте</t>
        </is>
      </c>
    </row>
    <row r="2" ht="30" customHeight="1">
      <c r="A2" s="5" t="inlineStr">
        <is>
          <t>IP-Телефоны</t>
        </is>
      </c>
      <c r="B2" s="5" t="inlineStr">
        <is>
          <t>Yealink SIP-T33P</t>
        </is>
      </c>
      <c r="C2" s="2" t="inlineStr"/>
      <c r="D2" s="2" t="n">
        <v>728000</v>
      </c>
      <c r="E2" s="2" t="n">
        <v>650000</v>
      </c>
      <c r="F2" s="2" t="inlineStr">
        <is>
          <t>Yealink</t>
        </is>
      </c>
      <c r="G2" s="2">
        <f>HYPERLINK("https://itrix.uz/product/323", "🔗 Купить продукт")</f>
        <v/>
      </c>
    </row>
    <row r="3" ht="30" customHeight="1">
      <c r="A3" s="5" t="inlineStr">
        <is>
          <t>IP-Телефоны</t>
        </is>
      </c>
      <c r="B3" s="5" t="inlineStr">
        <is>
          <t xml:space="preserve">Grandstream GRP2615 </t>
        </is>
      </c>
      <c r="C3" s="2" t="inlineStr"/>
      <c r="D3" s="2" t="n">
        <v>2645552</v>
      </c>
      <c r="E3" s="2" t="n">
        <v>2362100</v>
      </c>
      <c r="F3" s="2" t="inlineStr">
        <is>
          <t>Grandstream</t>
        </is>
      </c>
      <c r="G3" s="2">
        <f>HYPERLINK("https://itrix.uz/product/15", "🔗 Купить продукт")</f>
        <v/>
      </c>
    </row>
    <row r="4" ht="30" customHeight="1">
      <c r="A4" s="5" t="inlineStr">
        <is>
          <t>IP-Телефоны</t>
        </is>
      </c>
      <c r="B4" s="5" t="inlineStr">
        <is>
          <t xml:space="preserve">Grandstream DP730 </t>
        </is>
      </c>
      <c r="C4" s="2" t="inlineStr"/>
      <c r="D4" s="2" t="n">
        <v>1557046</v>
      </c>
      <c r="E4" s="2" t="n">
        <v>1390220</v>
      </c>
      <c r="F4" s="2" t="inlineStr">
        <is>
          <t>Grandstream</t>
        </is>
      </c>
      <c r="G4" s="2">
        <f>HYPERLINK("https://itrix.uz/product/20", "🔗 Купить продукт")</f>
        <v/>
      </c>
    </row>
    <row r="5" ht="30" customHeight="1">
      <c r="A5" s="5" t="inlineStr">
        <is>
          <t>IP-АТС</t>
        </is>
      </c>
      <c r="B5" s="5" t="inlineStr">
        <is>
          <t xml:space="preserve">Grandstream GXW4232 </t>
        </is>
      </c>
      <c r="C5" s="2" t="inlineStr"/>
      <c r="D5" s="2" t="n">
        <v>10647728</v>
      </c>
      <c r="E5" s="2" t="n">
        <v>9506900</v>
      </c>
      <c r="F5" s="2" t="inlineStr">
        <is>
          <t>Grandstream</t>
        </is>
      </c>
      <c r="G5" s="2">
        <f>HYPERLINK("https://itrix.uz/product/31", "🔗 Купить продукт")</f>
        <v/>
      </c>
    </row>
    <row r="6" ht="30" customHeight="1">
      <c r="A6" s="5" t="inlineStr">
        <is>
          <t>IP-АТС</t>
        </is>
      </c>
      <c r="B6" s="5" t="inlineStr">
        <is>
          <t xml:space="preserve">Grandstream UCM6510 </t>
        </is>
      </c>
      <c r="C6" s="2" t="inlineStr"/>
      <c r="D6" s="2" t="n">
        <v>17285486</v>
      </c>
      <c r="E6" s="2" t="n">
        <v>15433470</v>
      </c>
      <c r="F6" s="2" t="inlineStr">
        <is>
          <t>Grandstream</t>
        </is>
      </c>
      <c r="G6" s="2">
        <f>HYPERLINK("https://itrix.uz/product/29", "🔗 Купить продукт")</f>
        <v/>
      </c>
    </row>
    <row r="7" ht="30" customHeight="1">
      <c r="A7" s="5" t="inlineStr">
        <is>
          <t>IP-АТС</t>
        </is>
      </c>
      <c r="B7" s="5" t="inlineStr">
        <is>
          <t xml:space="preserve">Grandstream UCM6301 </t>
        </is>
      </c>
      <c r="C7" s="2" t="inlineStr"/>
      <c r="D7" s="2" t="n">
        <v>5637050</v>
      </c>
      <c r="E7" s="2" t="n">
        <v>5033080</v>
      </c>
      <c r="F7" s="2" t="inlineStr">
        <is>
          <t>Grandstream</t>
        </is>
      </c>
      <c r="G7" s="2">
        <f>HYPERLINK("https://itrix.uz/product/25", "🔗 Купить продукт")</f>
        <v/>
      </c>
    </row>
    <row r="8" ht="30" customHeight="1">
      <c r="A8" s="5" t="inlineStr">
        <is>
          <t>IP-Телефоны</t>
        </is>
      </c>
      <c r="B8" s="5" t="inlineStr">
        <is>
          <t xml:space="preserve">Grandstream GXP2170 </t>
        </is>
      </c>
      <c r="C8" s="2" t="inlineStr"/>
      <c r="D8" s="2" t="n">
        <v>2343869</v>
      </c>
      <c r="E8" s="2" t="n">
        <v>2092740</v>
      </c>
      <c r="F8" s="2" t="inlineStr">
        <is>
          <t>Grandstream</t>
        </is>
      </c>
      <c r="G8" s="2">
        <f>HYPERLINK("https://itrix.uz/product/17", "🔗 Купить продукт")</f>
        <v/>
      </c>
    </row>
    <row r="9" ht="30" customHeight="1">
      <c r="A9" s="5" t="inlineStr">
        <is>
          <t>IP-Телефоны</t>
        </is>
      </c>
      <c r="B9" s="5" t="inlineStr">
        <is>
          <t xml:space="preserve">Grandstream WP820 </t>
        </is>
      </c>
      <c r="C9" s="2" t="inlineStr"/>
      <c r="D9" s="2" t="n">
        <v>3640437</v>
      </c>
      <c r="E9" s="2" t="n">
        <v>3250390</v>
      </c>
      <c r="F9" s="2" t="inlineStr">
        <is>
          <t>Grandstream</t>
        </is>
      </c>
      <c r="G9" s="2">
        <f>HYPERLINK("https://itrix.uz/product/24", "🔗 Купить продукт")</f>
        <v/>
      </c>
    </row>
    <row r="10" ht="30" customHeight="1">
      <c r="A10" s="5" t="inlineStr">
        <is>
          <t>IP-Телефоны</t>
        </is>
      </c>
      <c r="B10" s="5" t="inlineStr">
        <is>
          <t>Grandstream DP752</t>
        </is>
      </c>
      <c r="C10" s="2" t="inlineStr"/>
      <c r="D10" s="2" t="n">
        <v>1101755</v>
      </c>
      <c r="E10" s="2" t="n">
        <v>983710</v>
      </c>
      <c r="F10" s="2" t="inlineStr">
        <is>
          <t>Grandstream</t>
        </is>
      </c>
      <c r="G10" s="2">
        <f>HYPERLINK("https://itrix.uz/product/21", "🔗 Купить продукт")</f>
        <v/>
      </c>
    </row>
    <row r="11" ht="30" customHeight="1">
      <c r="A11" s="5" t="inlineStr">
        <is>
          <t>IP-Телефоны</t>
        </is>
      </c>
      <c r="B11" s="5" t="inlineStr">
        <is>
          <t>Yealink SIP-T54W</t>
        </is>
      </c>
      <c r="C11" s="2" t="inlineStr"/>
      <c r="D11" s="2" t="n">
        <v>728000</v>
      </c>
      <c r="E11" s="2" t="n">
        <v>650000</v>
      </c>
      <c r="F11" s="2" t="inlineStr">
        <is>
          <t>Yealink</t>
        </is>
      </c>
      <c r="G11" s="2">
        <f>HYPERLINK("https://itrix.uz/product/326", "🔗 Купить продукт")</f>
        <v/>
      </c>
    </row>
    <row r="12" ht="30" customHeight="1">
      <c r="A12" s="5" t="inlineStr">
        <is>
          <t>IP-Телефоны</t>
        </is>
      </c>
      <c r="B12" s="5" t="inlineStr">
        <is>
          <t>Модуль расширения Yealink EXP40</t>
        </is>
      </c>
      <c r="C12" s="2" t="inlineStr"/>
      <c r="D12" s="2" t="n">
        <v>728000</v>
      </c>
      <c r="E12" s="2" t="n">
        <v>650000</v>
      </c>
      <c r="F12" s="2" t="inlineStr">
        <is>
          <t>Yealink</t>
        </is>
      </c>
      <c r="G12" s="2">
        <f>HYPERLINK("https://itrix.uz/product/330", "🔗 Купить продукт")</f>
        <v/>
      </c>
    </row>
    <row r="13" ht="30" customHeight="1">
      <c r="A13" s="5" t="inlineStr">
        <is>
          <t>IP-Телефоны</t>
        </is>
      </c>
      <c r="B13" s="5" t="inlineStr">
        <is>
          <t>Yealink SIP-T43U</t>
        </is>
      </c>
      <c r="C13" s="2" t="inlineStr"/>
      <c r="D13" s="2" t="n">
        <v>728000</v>
      </c>
      <c r="E13" s="2" t="n">
        <v>650000</v>
      </c>
      <c r="F13" s="2" t="inlineStr">
        <is>
          <t>Yealink</t>
        </is>
      </c>
      <c r="G13" s="2">
        <f>HYPERLINK("https://itrix.uz/product/321", "🔗 Купить продукт")</f>
        <v/>
      </c>
    </row>
    <row r="14" ht="30" customHeight="1">
      <c r="A14" s="5" t="inlineStr">
        <is>
          <t>IP-АТС</t>
        </is>
      </c>
      <c r="B14" s="5" t="inlineStr">
        <is>
          <t>Grandstream UCM6308</t>
        </is>
      </c>
      <c r="C14" s="2" t="inlineStr"/>
      <c r="D14" s="2" t="n">
        <v>24108594</v>
      </c>
      <c r="E14" s="2" t="n">
        <v>21525530</v>
      </c>
      <c r="F14" s="2" t="inlineStr">
        <is>
          <t>Grandstream</t>
        </is>
      </c>
      <c r="G14" s="2">
        <f>HYPERLINK("https://itrix.uz/product/26", "🔗 Купить продукт")</f>
        <v/>
      </c>
    </row>
    <row r="15" ht="30" customHeight="1">
      <c r="A15" s="5" t="inlineStr">
        <is>
          <t>IP-Телефоны</t>
        </is>
      </c>
      <c r="B15" s="5" t="inlineStr">
        <is>
          <t>IP телефон Grandstream GRP2604P</t>
        </is>
      </c>
      <c r="C15" s="2" t="inlineStr"/>
      <c r="D15" s="2" t="n">
        <v>1134661</v>
      </c>
      <c r="E15" s="2" t="n">
        <v>1013090</v>
      </c>
      <c r="F15" s="2" t="inlineStr">
        <is>
          <t>Grandstream</t>
        </is>
      </c>
      <c r="G15" s="2">
        <f>HYPERLINK("https://itrix.uz/product/12", "🔗 Купить продукт")</f>
        <v/>
      </c>
    </row>
    <row r="16" ht="30" customHeight="1">
      <c r="A16" s="5" t="inlineStr">
        <is>
          <t>IP-Телефоны</t>
        </is>
      </c>
      <c r="B16" s="5" t="inlineStr">
        <is>
          <t xml:space="preserve">Grandstream GXP1625 </t>
        </is>
      </c>
      <c r="C16" s="2" t="inlineStr"/>
      <c r="D16" s="2" t="n">
        <v>864718</v>
      </c>
      <c r="E16" s="2" t="n">
        <v>772070</v>
      </c>
      <c r="F16" s="2" t="inlineStr">
        <is>
          <t>Grandstream</t>
        </is>
      </c>
      <c r="G16" s="2">
        <f>HYPERLINK("https://itrix.uz/product/18", "🔗 Купить продукт")</f>
        <v/>
      </c>
    </row>
    <row r="17" ht="30" customHeight="1">
      <c r="A17" s="5" t="inlineStr">
        <is>
          <t>IP-Телефоны</t>
        </is>
      </c>
      <c r="B17" s="5" t="inlineStr">
        <is>
          <t xml:space="preserve">Grandstream DP722 </t>
        </is>
      </c>
      <c r="C17" s="2" t="inlineStr"/>
      <c r="D17" s="2" t="n">
        <v>1101755</v>
      </c>
      <c r="E17" s="2" t="n">
        <v>983710</v>
      </c>
      <c r="F17" s="2" t="inlineStr">
        <is>
          <t>Grandstream</t>
        </is>
      </c>
      <c r="G17" s="2">
        <f>HYPERLINK("https://itrix.uz/product/19", "🔗 Купить продукт")</f>
        <v/>
      </c>
    </row>
    <row r="18" ht="30" customHeight="1">
      <c r="A18" s="5" t="inlineStr">
        <is>
          <t>IP-Телефоны</t>
        </is>
      </c>
      <c r="B18" s="5" t="inlineStr">
        <is>
          <t xml:space="preserve">Grandstream GXP2160 </t>
        </is>
      </c>
      <c r="C18" s="2" t="inlineStr"/>
      <c r="D18" s="2" t="n">
        <v>2343869</v>
      </c>
      <c r="E18" s="2" t="n">
        <v>2092740</v>
      </c>
      <c r="F18" s="2" t="inlineStr">
        <is>
          <t>Grandstream</t>
        </is>
      </c>
      <c r="G18" s="2">
        <f>HYPERLINK("https://itrix.uz/product/16", "🔗 Купить продукт")</f>
        <v/>
      </c>
    </row>
    <row r="19" ht="30" customHeight="1">
      <c r="A19" s="5" t="inlineStr">
        <is>
          <t>IP-Телефоны</t>
        </is>
      </c>
      <c r="B19" s="5" t="inlineStr">
        <is>
          <t xml:space="preserve">Grandstream GXV3350 </t>
        </is>
      </c>
      <c r="C19" s="2" t="inlineStr"/>
      <c r="D19" s="2" t="n">
        <v>5050864</v>
      </c>
      <c r="E19" s="2" t="n">
        <v>4509700</v>
      </c>
      <c r="F19" s="2" t="inlineStr">
        <is>
          <t>Grandstream</t>
        </is>
      </c>
      <c r="G19" s="2">
        <f>HYPERLINK("https://itrix.uz/product/22", "🔗 Купить продукт")</f>
        <v/>
      </c>
    </row>
    <row r="20" ht="30" customHeight="1">
      <c r="A20" s="5" t="inlineStr">
        <is>
          <t>IP-Телефоны</t>
        </is>
      </c>
      <c r="B20" s="5" t="inlineStr">
        <is>
          <t xml:space="preserve">Grandstream WP810 </t>
        </is>
      </c>
      <c r="C20" s="2" t="inlineStr"/>
      <c r="D20" s="2" t="n">
        <v>2148910</v>
      </c>
      <c r="E20" s="2" t="n">
        <v>1918670</v>
      </c>
      <c r="F20" s="2" t="inlineStr">
        <is>
          <t>Grandstream</t>
        </is>
      </c>
      <c r="G20" s="2">
        <f>HYPERLINK("https://itrix.uz/product/23", "🔗 Купить продукт")</f>
        <v/>
      </c>
    </row>
    <row r="21" ht="30" customHeight="1">
      <c r="A21" s="5" t="inlineStr">
        <is>
          <t>IP-АТС</t>
        </is>
      </c>
      <c r="B21" s="5" t="inlineStr">
        <is>
          <t xml:space="preserve">Grandstream GXW4224 </t>
        </is>
      </c>
      <c r="C21" s="2" t="inlineStr"/>
      <c r="D21" s="2" t="n">
        <v>8895286</v>
      </c>
      <c r="E21" s="2" t="n">
        <v>7942220</v>
      </c>
      <c r="F21" s="2" t="inlineStr">
        <is>
          <t>Grandstream</t>
        </is>
      </c>
      <c r="G21" s="2">
        <f>HYPERLINK("https://itrix.uz/product/30", "🔗 Купить продукт")</f>
        <v/>
      </c>
    </row>
    <row r="22" ht="30" customHeight="1">
      <c r="A22" s="5" t="inlineStr">
        <is>
          <t>IP-Телефоны</t>
        </is>
      </c>
      <c r="B22" s="5" t="inlineStr">
        <is>
          <t>Yealink SIP-T53W</t>
        </is>
      </c>
      <c r="C22" s="2" t="inlineStr"/>
      <c r="D22" s="2" t="n">
        <v>728000</v>
      </c>
      <c r="E22" s="2" t="n">
        <v>650000</v>
      </c>
      <c r="F22" s="2" t="inlineStr">
        <is>
          <t>Yealink</t>
        </is>
      </c>
      <c r="G22" s="2">
        <f>HYPERLINK("https://itrix.uz/product/325", "🔗 Купить продукт")</f>
        <v/>
      </c>
    </row>
    <row r="23" ht="30" customHeight="1">
      <c r="A23" s="5" t="inlineStr">
        <is>
          <t>IP-Телефоны</t>
        </is>
      </c>
      <c r="B23" s="5" t="inlineStr">
        <is>
          <t>Yealink SIP-T31W</t>
        </is>
      </c>
      <c r="C23" s="2" t="inlineStr"/>
      <c r="D23" s="2" t="n">
        <v>728000</v>
      </c>
      <c r="E23" s="2" t="n">
        <v>650000</v>
      </c>
      <c r="F23" s="2" t="inlineStr">
        <is>
          <t>Yealink</t>
        </is>
      </c>
      <c r="G23" s="2">
        <f>HYPERLINK("https://itrix.uz/product/318", "🔗 Купить продукт")</f>
        <v/>
      </c>
    </row>
    <row r="24" ht="30" customHeight="1">
      <c r="A24" s="5" t="inlineStr">
        <is>
          <t>IP-Телефоны</t>
        </is>
      </c>
      <c r="B24" s="5" t="inlineStr">
        <is>
          <t>Yealink SIP-T44W</t>
        </is>
      </c>
      <c r="C24" s="2" t="inlineStr"/>
      <c r="D24" s="2" t="n">
        <v>728000</v>
      </c>
      <c r="E24" s="2" t="n">
        <v>650000</v>
      </c>
      <c r="F24" s="2" t="inlineStr">
        <is>
          <t>Yealink</t>
        </is>
      </c>
      <c r="G24" s="2">
        <f>HYPERLINK("https://itrix.uz/product/320", "🔗 Купить продукт")</f>
        <v/>
      </c>
    </row>
    <row r="25" ht="30" customHeight="1">
      <c r="A25" s="5" t="inlineStr">
        <is>
          <t>IP-Телефоны</t>
        </is>
      </c>
      <c r="B25" s="5" t="inlineStr">
        <is>
          <t>Yealink SIP-T46U</t>
        </is>
      </c>
      <c r="C25" s="2" t="inlineStr"/>
      <c r="D25" s="2" t="n">
        <v>728000</v>
      </c>
      <c r="E25" s="2" t="n">
        <v>650000</v>
      </c>
      <c r="F25" s="2" t="inlineStr">
        <is>
          <t>Yealink</t>
        </is>
      </c>
      <c r="G25" s="2">
        <f>HYPERLINK("https://itrix.uz/product/322", "🔗 Купить продукт")</f>
        <v/>
      </c>
    </row>
    <row r="26" ht="30" customHeight="1">
      <c r="A26" s="5" t="inlineStr">
        <is>
          <t>IP-Телефоны</t>
        </is>
      </c>
      <c r="B26" s="5" t="inlineStr">
        <is>
          <t>Yealink SIP-T48U</t>
        </is>
      </c>
      <c r="C26" s="2" t="inlineStr"/>
      <c r="D26" s="2" t="n">
        <v>728000</v>
      </c>
      <c r="E26" s="2" t="n">
        <v>650000</v>
      </c>
      <c r="F26" s="2" t="inlineStr">
        <is>
          <t>Yealink</t>
        </is>
      </c>
      <c r="G26" s="2">
        <f>HYPERLINK("https://itrix.uz/product/324", "🔗 Купить продукт")</f>
        <v/>
      </c>
    </row>
    <row r="27" ht="30" customHeight="1">
      <c r="A27" s="5" t="inlineStr">
        <is>
          <t>IP-Телефоны</t>
        </is>
      </c>
      <c r="B27" s="5" t="inlineStr">
        <is>
          <t>Yealink SIP-T58W Pro</t>
        </is>
      </c>
      <c r="C27" s="2" t="inlineStr"/>
      <c r="D27" s="2" t="n">
        <v>728000</v>
      </c>
      <c r="E27" s="2" t="n">
        <v>650000</v>
      </c>
      <c r="F27" s="2" t="inlineStr">
        <is>
          <t>Yealink</t>
        </is>
      </c>
      <c r="G27" s="2">
        <f>HYPERLINK("https://itrix.uz/product/328", "🔗 Купить продукт")</f>
        <v/>
      </c>
    </row>
    <row r="28" ht="30" customHeight="1">
      <c r="A28" s="5" t="inlineStr">
        <is>
          <t>IP-Телефоны</t>
        </is>
      </c>
      <c r="B28" s="5" t="inlineStr">
        <is>
          <t>Yealink SIP-T58W</t>
        </is>
      </c>
      <c r="C28" s="2" t="inlineStr"/>
      <c r="D28" s="2" t="n">
        <v>728000</v>
      </c>
      <c r="E28" s="2" t="n">
        <v>650000</v>
      </c>
      <c r="F28" s="2" t="inlineStr">
        <is>
          <t>Yealink</t>
        </is>
      </c>
      <c r="G28" s="2">
        <f>HYPERLINK("https://itrix.uz/product/327", "🔗 Купить продукт")</f>
        <v/>
      </c>
    </row>
    <row r="29" ht="30" customHeight="1">
      <c r="A29" s="5" t="inlineStr">
        <is>
          <t>IP-Телефоны</t>
        </is>
      </c>
      <c r="B29" s="5" t="inlineStr">
        <is>
          <t>Yealink VP59</t>
        </is>
      </c>
      <c r="C29" s="2" t="inlineStr"/>
      <c r="D29" s="2" t="n">
        <v>728000</v>
      </c>
      <c r="E29" s="2" t="n">
        <v>650000</v>
      </c>
      <c r="F29" s="2" t="inlineStr">
        <is>
          <t>Yealink</t>
        </is>
      </c>
      <c r="G29" s="2">
        <f>HYPERLINK("https://itrix.uz/product/329", "🔗 Купить продукт")</f>
        <v/>
      </c>
    </row>
    <row r="30" ht="30" customHeight="1">
      <c r="A30" s="5" t="inlineStr">
        <is>
          <t>IP-Телефоны</t>
        </is>
      </c>
      <c r="B30" s="5" t="inlineStr">
        <is>
          <t xml:space="preserve">Grandstream GRP2612 (без PoE) </t>
        </is>
      </c>
      <c r="C30" s="2" t="inlineStr"/>
      <c r="D30" s="2" t="n">
        <v>1138738</v>
      </c>
      <c r="E30" s="2" t="n">
        <v>1016730</v>
      </c>
      <c r="F30" s="2" t="inlineStr">
        <is>
          <t>Grandstream</t>
        </is>
      </c>
      <c r="G30" s="2">
        <f>HYPERLINK("https://itrix.uz/product/14", "🔗 Купить продукт")</f>
        <v/>
      </c>
    </row>
    <row r="31" ht="30" customHeight="1">
      <c r="A31" s="5" t="inlineStr">
        <is>
          <t>IP-АТС</t>
        </is>
      </c>
      <c r="B31" s="5" t="inlineStr">
        <is>
          <t>Grandstream UCM6204</t>
        </is>
      </c>
      <c r="C31" s="2" t="inlineStr"/>
      <c r="D31" s="2" t="n">
        <v>7171528</v>
      </c>
      <c r="E31" s="2" t="n">
        <v>6403150</v>
      </c>
      <c r="F31" s="2" t="inlineStr">
        <is>
          <t>Grandstream</t>
        </is>
      </c>
      <c r="G31" s="2">
        <f>HYPERLINK("https://itrix.uz/product/27", "🔗 Купить продукт")</f>
        <v/>
      </c>
    </row>
    <row r="32" ht="30" customHeight="1">
      <c r="A32" s="5" t="inlineStr">
        <is>
          <t>IP-Телефоны</t>
        </is>
      </c>
      <c r="B32" s="5" t="inlineStr">
        <is>
          <t>Модуль расширения Yealink EXP50</t>
        </is>
      </c>
      <c r="C32" s="2" t="inlineStr"/>
      <c r="D32" s="2" t="n">
        <v>728000</v>
      </c>
      <c r="E32" s="2" t="n">
        <v>650000</v>
      </c>
      <c r="F32" s="2" t="inlineStr">
        <is>
          <t>Yealink</t>
        </is>
      </c>
      <c r="G32" s="2">
        <f>HYPERLINK("https://itrix.uz/product/332", "🔗 Купить продукт")</f>
        <v/>
      </c>
    </row>
    <row r="33" ht="30" customHeight="1">
      <c r="A33" s="5" t="inlineStr">
        <is>
          <t>IP-АТС</t>
        </is>
      </c>
      <c r="B33" s="5" t="inlineStr">
        <is>
          <t xml:space="preserve">Grandstream UCM6208 </t>
        </is>
      </c>
      <c r="C33" s="2" t="inlineStr"/>
      <c r="D33" s="2" t="n">
        <v>11006923</v>
      </c>
      <c r="E33" s="2" t="n">
        <v>9827610</v>
      </c>
      <c r="F33" s="2" t="inlineStr">
        <is>
          <t>Grandstream</t>
        </is>
      </c>
      <c r="G33" s="2">
        <f>HYPERLINK("https://itrix.uz/product/28", "🔗 Купить продукт")</f>
        <v/>
      </c>
    </row>
    <row r="34" ht="30" customHeight="1">
      <c r="A34" s="5" t="inlineStr">
        <is>
          <t>IP-Телефоны</t>
        </is>
      </c>
      <c r="B34" s="5" t="inlineStr">
        <is>
          <t>Модуль расширения Yealink EXP43</t>
        </is>
      </c>
      <c r="C34" s="2" t="inlineStr"/>
      <c r="D34" s="2" t="n">
        <v>728000</v>
      </c>
      <c r="E34" s="2" t="n">
        <v>650000</v>
      </c>
      <c r="F34" s="2" t="inlineStr">
        <is>
          <t>Yealink</t>
        </is>
      </c>
      <c r="G34" s="2">
        <f>HYPERLINK("https://itrix.uz/product/331", "🔗 Купить продукт")</f>
        <v/>
      </c>
    </row>
    <row r="35" ht="30" customHeight="1">
      <c r="A35" s="5" t="inlineStr">
        <is>
          <t>IP-Телефоны</t>
        </is>
      </c>
      <c r="B35" s="5" t="inlineStr">
        <is>
          <t>Yealink SIP-T30P</t>
        </is>
      </c>
      <c r="C35" s="2" t="inlineStr"/>
      <c r="D35" s="2" t="n">
        <v>728000</v>
      </c>
      <c r="E35" s="2" t="n">
        <v>650000</v>
      </c>
      <c r="F35" s="2" t="inlineStr">
        <is>
          <t>Yealink</t>
        </is>
      </c>
      <c r="G35" s="2">
        <f>HYPERLINK("https://itrix.uz/product/317", "🔗 Купить продукт")</f>
        <v/>
      </c>
    </row>
    <row r="36" ht="30" customHeight="1">
      <c r="A36" s="5" t="inlineStr">
        <is>
          <t>IP-Телефоны</t>
        </is>
      </c>
      <c r="B36" s="5" t="inlineStr">
        <is>
          <t>Yealink SIP-T34W</t>
        </is>
      </c>
      <c r="C36" s="2" t="inlineStr"/>
      <c r="D36" s="2" t="n">
        <v>728000</v>
      </c>
      <c r="E36" s="2" t="n">
        <v>650000</v>
      </c>
      <c r="F36" s="2" t="inlineStr">
        <is>
          <t>Yealink</t>
        </is>
      </c>
      <c r="G36" s="2">
        <f>HYPERLINK("https://itrix.uz/product/319", "🔗 Купить продукт")</f>
        <v/>
      </c>
    </row>
    <row r="37" ht="30" customHeight="1">
      <c r="A37" s="5" t="inlineStr">
        <is>
          <t>IP-Телефоны</t>
        </is>
      </c>
      <c r="B37" s="5" t="inlineStr">
        <is>
          <t>IP телефон Grandstream GRP2601P</t>
        </is>
      </c>
      <c r="C37" s="2" t="inlineStr">
        <is>
          <t>Гарантия 1 мес.</t>
        </is>
      </c>
      <c r="D37" s="2" t="n">
        <v>728000</v>
      </c>
      <c r="E37" s="2" t="n">
        <v>650000</v>
      </c>
      <c r="F37" s="2" t="inlineStr">
        <is>
          <t>Grandstream</t>
        </is>
      </c>
      <c r="G37" s="2">
        <f>HYPERLINK("https://itrix.uz/product/10", "🔗 Купить продукт")</f>
        <v/>
      </c>
    </row>
    <row r="38" ht="30" customHeight="1">
      <c r="A38" s="5" t="inlineStr">
        <is>
          <t>IP-Телефоны</t>
        </is>
      </c>
      <c r="B38" s="5" t="inlineStr">
        <is>
          <t xml:space="preserve">IP телефон Grandstream GRP2602P </t>
        </is>
      </c>
      <c r="C38" s="2" t="inlineStr"/>
      <c r="D38" s="2" t="n">
        <v>808954</v>
      </c>
      <c r="E38" s="2" t="n">
        <v>722280</v>
      </c>
      <c r="F38" s="2" t="inlineStr">
        <is>
          <t>Grandstream</t>
        </is>
      </c>
      <c r="G38" s="2">
        <f>HYPERLINK("https://itrix.uz/product/11", "🔗 Купить продукт")</f>
        <v/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tabColor rgb="00151C15"/>
    <outlinePr summaryBelow="1" summaryRight="1"/>
    <pageSetUpPr/>
  </sheetPr>
  <dimension ref="A1:G34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10" customWidth="1" min="6" max="6"/>
    <col width="25" customWidth="1" min="7" max="7"/>
  </cols>
  <sheetData>
    <row r="1" ht="30" customHeight="1">
      <c r="A1" s="3" t="inlineStr">
        <is>
          <t>Категория</t>
        </is>
      </c>
      <c r="B1" s="3" t="inlineStr">
        <is>
          <t>Наименование</t>
        </is>
      </c>
      <c r="C1" s="4" t="inlineStr">
        <is>
          <t>Гарантия</t>
        </is>
      </c>
      <c r="D1" s="4" t="inlineStr">
        <is>
          <t>Цена с НДС</t>
        </is>
      </c>
      <c r="E1" s="4" t="inlineStr">
        <is>
          <t>Цена без НДС</t>
        </is>
      </c>
      <c r="F1" s="4" t="inlineStr">
        <is>
          <t>Бренд</t>
        </is>
      </c>
      <c r="G1" s="4" t="inlineStr">
        <is>
          <t>На сайте</t>
        </is>
      </c>
    </row>
    <row r="2" ht="30" customHeight="1">
      <c r="A2" s="5" t="inlineStr">
        <is>
          <t>Точки доступа WiFi</t>
        </is>
      </c>
      <c r="B2" s="5" t="inlineStr">
        <is>
          <t>UniFi 6 Long Range</t>
        </is>
      </c>
      <c r="C2" s="2" t="inlineStr"/>
      <c r="D2" s="2" t="n">
        <v>728000</v>
      </c>
      <c r="E2" s="2" t="n">
        <v>650000</v>
      </c>
      <c r="F2" s="2" t="inlineStr">
        <is>
          <t>UniFi UBIQUITI</t>
        </is>
      </c>
      <c r="G2" s="2">
        <f>HYPERLINK("https://itrix.uz/product/300", "🔗 Купить продукт")</f>
        <v/>
      </c>
    </row>
    <row r="3" ht="30" customHeight="1">
      <c r="A3" s="5" t="inlineStr">
        <is>
          <t>Точки доступа WiFi</t>
        </is>
      </c>
      <c r="B3" s="5" t="inlineStr">
        <is>
          <t>Точка доступа WIFI H3C WA6120 Internal Antennas 4 Streams Dual Radio 802.11ax/ac/n Access Point</t>
        </is>
      </c>
      <c r="C3" s="2" t="inlineStr"/>
      <c r="D3" s="2" t="n">
        <v>728000</v>
      </c>
      <c r="E3" s="2" t="n">
        <v>650000</v>
      </c>
      <c r="F3" s="2" t="inlineStr">
        <is>
          <t>H3C</t>
        </is>
      </c>
      <c r="G3" s="2">
        <f>HYPERLINK("https://itrix.uz/product/209", "🔗 Купить продукт")</f>
        <v/>
      </c>
    </row>
    <row r="4" ht="30" customHeight="1">
      <c r="A4" s="5" t="inlineStr">
        <is>
          <t>Точки доступа WiFi</t>
        </is>
      </c>
      <c r="B4" s="5" t="inlineStr">
        <is>
          <t>WIFI H3C WA6120X Internal Antennas 4 Streams Dual Radio 802.11ax/ac/n Outdoor Access Point</t>
        </is>
      </c>
      <c r="C4" s="2" t="inlineStr"/>
      <c r="D4" s="2" t="n">
        <v>728000</v>
      </c>
      <c r="E4" s="2" t="n">
        <v>650000</v>
      </c>
      <c r="F4" s="2" t="inlineStr">
        <is>
          <t>H3C</t>
        </is>
      </c>
      <c r="G4" s="2">
        <f>HYPERLINK("https://itrix.uz/product/210", "🔗 Купить продукт")</f>
        <v/>
      </c>
    </row>
    <row r="5" ht="30" customHeight="1">
      <c r="A5" s="5" t="inlineStr">
        <is>
          <t>Точки доступа WiFi</t>
        </is>
      </c>
      <c r="B5" s="5" t="inlineStr">
        <is>
          <t>Маршрутизатор Mikrotik RB2011UiAS-2HnD-IN</t>
        </is>
      </c>
      <c r="C5" s="2" t="inlineStr"/>
      <c r="D5" s="2" t="n">
        <v>728000</v>
      </c>
      <c r="E5" s="2" t="n">
        <v>650000</v>
      </c>
      <c r="F5" s="2" t="inlineStr">
        <is>
          <t>Mikrotik</t>
        </is>
      </c>
      <c r="G5" s="2">
        <f>HYPERLINK("https://itrix.uz/product/233", "🔗 Купить продукт")</f>
        <v/>
      </c>
    </row>
    <row r="6" ht="30" customHeight="1">
      <c r="A6" s="5" t="inlineStr">
        <is>
          <t>Точки доступа WiFi</t>
        </is>
      </c>
      <c r="B6" s="5" t="inlineStr">
        <is>
          <t>Точка доступа MikroTik RB951G-2HnD</t>
        </is>
      </c>
      <c r="C6" s="2" t="inlineStr"/>
      <c r="D6" s="2" t="n">
        <v>728000</v>
      </c>
      <c r="E6" s="2" t="n">
        <v>650000</v>
      </c>
      <c r="F6" s="2" t="inlineStr">
        <is>
          <t>Mikrotik</t>
        </is>
      </c>
      <c r="G6" s="2">
        <f>HYPERLINK("https://itrix.uz/product/245", "🔗 Купить продукт")</f>
        <v/>
      </c>
    </row>
    <row r="7" ht="30" customHeight="1">
      <c r="A7" s="5" t="inlineStr">
        <is>
          <t>Точки доступа WiFi</t>
        </is>
      </c>
      <c r="B7" s="5" t="inlineStr">
        <is>
          <t>Точка доступа MikroTik hAP</t>
        </is>
      </c>
      <c r="C7" s="2" t="inlineStr"/>
      <c r="D7" s="2" t="n">
        <v>728000</v>
      </c>
      <c r="E7" s="2" t="n">
        <v>650000</v>
      </c>
      <c r="F7" s="2" t="inlineStr">
        <is>
          <t>Mikrotik</t>
        </is>
      </c>
      <c r="G7" s="2">
        <f>HYPERLINK("https://itrix.uz/product/243", "🔗 Купить продукт")</f>
        <v/>
      </c>
    </row>
    <row r="8" ht="30" customHeight="1">
      <c r="A8" s="5" t="inlineStr">
        <is>
          <t>Точки доступа WiFi</t>
        </is>
      </c>
      <c r="B8" s="5" t="inlineStr">
        <is>
          <t>Точка доступа MikroTik RB951Ui-2HnD</t>
        </is>
      </c>
      <c r="C8" s="2" t="inlineStr"/>
      <c r="D8" s="2" t="n">
        <v>728000</v>
      </c>
      <c r="E8" s="2" t="n">
        <v>650000</v>
      </c>
      <c r="F8" s="2" t="inlineStr">
        <is>
          <t>Mikrotik</t>
        </is>
      </c>
      <c r="G8" s="2">
        <f>HYPERLINK("https://itrix.uz/product/244", "🔗 Купить продукт")</f>
        <v/>
      </c>
    </row>
    <row r="9" ht="30" customHeight="1">
      <c r="A9" s="5" t="inlineStr">
        <is>
          <t>Точки доступа WiFi</t>
        </is>
      </c>
      <c r="B9" s="5" t="inlineStr">
        <is>
          <t>Точка доступа MikroTik hAP lite classic</t>
        </is>
      </c>
      <c r="C9" s="2" t="inlineStr"/>
      <c r="D9" s="2" t="n">
        <v>728000</v>
      </c>
      <c r="E9" s="2" t="n">
        <v>650000</v>
      </c>
      <c r="F9" s="2" t="inlineStr">
        <is>
          <t>Mikrotik</t>
        </is>
      </c>
      <c r="G9" s="2">
        <f>HYPERLINK("https://itrix.uz/product/249", "🔗 Купить продукт")</f>
        <v/>
      </c>
    </row>
    <row r="10" ht="30" customHeight="1">
      <c r="A10" s="5" t="inlineStr">
        <is>
          <t>Точки доступа WiFi</t>
        </is>
      </c>
      <c r="B10" s="5" t="inlineStr">
        <is>
          <t>Точка доступа MikroTik hAP lite</t>
        </is>
      </c>
      <c r="C10" s="2" t="inlineStr"/>
      <c r="D10" s="2" t="n">
        <v>728000</v>
      </c>
      <c r="E10" s="2" t="n">
        <v>650000</v>
      </c>
      <c r="F10" s="2" t="inlineStr">
        <is>
          <t>Mikrotik</t>
        </is>
      </c>
      <c r="G10" s="2">
        <f>HYPERLINK("https://itrix.uz/product/250", "🔗 Купить продукт")</f>
        <v/>
      </c>
    </row>
    <row r="11" ht="30" customHeight="1">
      <c r="A11" s="5" t="inlineStr">
        <is>
          <t>Точки доступа WiFi</t>
        </is>
      </c>
      <c r="B11" s="5" t="inlineStr">
        <is>
          <t>Точка доступа MikroTik hAP mini</t>
        </is>
      </c>
      <c r="C11" s="2" t="inlineStr"/>
      <c r="D11" s="2" t="n">
        <v>728000</v>
      </c>
      <c r="E11" s="2" t="n">
        <v>650000</v>
      </c>
      <c r="F11" s="2" t="inlineStr">
        <is>
          <t>Mikrotik</t>
        </is>
      </c>
      <c r="G11" s="2">
        <f>HYPERLINK("https://itrix.uz/product/251", "🔗 Купить продукт")</f>
        <v/>
      </c>
    </row>
    <row r="12" ht="30" customHeight="1">
      <c r="A12" s="5" t="inlineStr">
        <is>
          <t>Точки доступа WiFi</t>
        </is>
      </c>
      <c r="B12" s="5" t="inlineStr">
        <is>
          <t>Точка доступа MikroTik cAP ac</t>
        </is>
      </c>
      <c r="C12" s="2" t="inlineStr"/>
      <c r="D12" s="2" t="n">
        <v>728000</v>
      </c>
      <c r="E12" s="2" t="n">
        <v>650000</v>
      </c>
      <c r="F12" s="2" t="inlineStr">
        <is>
          <t>Mikrotik</t>
        </is>
      </c>
      <c r="G12" s="2">
        <f>HYPERLINK("https://itrix.uz/product/253", "🔗 Купить продукт")</f>
        <v/>
      </c>
    </row>
    <row r="13" ht="30" customHeight="1">
      <c r="A13" s="5" t="inlineStr">
        <is>
          <t>Точки доступа WiFi</t>
        </is>
      </c>
      <c r="B13" s="5" t="inlineStr">
        <is>
          <t>Точка доступа MikroTik cAP</t>
        </is>
      </c>
      <c r="C13" s="2" t="inlineStr"/>
      <c r="D13" s="2" t="n">
        <v>728000</v>
      </c>
      <c r="E13" s="2" t="n">
        <v>650000</v>
      </c>
      <c r="F13" s="2" t="inlineStr">
        <is>
          <t>Mikrotik</t>
        </is>
      </c>
      <c r="G13" s="2">
        <f>HYPERLINK("https://itrix.uz/product/254", "🔗 Купить продукт")</f>
        <v/>
      </c>
    </row>
    <row r="14" ht="30" customHeight="1">
      <c r="A14" s="5" t="inlineStr">
        <is>
          <t>Точки доступа WiFi</t>
        </is>
      </c>
      <c r="B14" s="5" t="inlineStr">
        <is>
          <t>UniFi AP AC Professional</t>
        </is>
      </c>
      <c r="C14" s="2" t="inlineStr"/>
      <c r="D14" s="2" t="n">
        <v>728000</v>
      </c>
      <c r="E14" s="2" t="n">
        <v>650000</v>
      </c>
      <c r="F14" s="2" t="inlineStr">
        <is>
          <t>UniFi UBIQUITI</t>
        </is>
      </c>
      <c r="G14" s="2">
        <f>HYPERLINK("https://itrix.uz/product/297", "🔗 Купить продукт")</f>
        <v/>
      </c>
    </row>
    <row r="15" ht="30" customHeight="1">
      <c r="A15" s="5" t="inlineStr">
        <is>
          <t>Точки доступа WiFi</t>
        </is>
      </c>
      <c r="B15" s="5" t="inlineStr">
        <is>
          <t>Ubiquiti UniFi AC knife ultra</t>
        </is>
      </c>
      <c r="C15" s="2" t="inlineStr"/>
      <c r="D15" s="2" t="n">
        <v>728000</v>
      </c>
      <c r="E15" s="2" t="n">
        <v>650000</v>
      </c>
      <c r="F15" s="2" t="inlineStr">
        <is>
          <t>UniFi UBIQUITI</t>
        </is>
      </c>
      <c r="G15" s="2">
        <f>HYPERLINK("https://itrix.uz/product/298", "🔗 Купить продукт")</f>
        <v/>
      </c>
    </row>
    <row r="16" ht="30" customHeight="1">
      <c r="A16" s="5" t="inlineStr">
        <is>
          <t>Точки доступа WiFi</t>
        </is>
      </c>
      <c r="B16" s="5" t="inlineStr">
        <is>
          <t>Точка доступа MikroTik hAP ac lite</t>
        </is>
      </c>
      <c r="C16" s="2" t="inlineStr"/>
      <c r="D16" s="2" t="n">
        <v>728000</v>
      </c>
      <c r="E16" s="2" t="n">
        <v>650000</v>
      </c>
      <c r="F16" s="2" t="inlineStr">
        <is>
          <t>Mikrotik</t>
        </is>
      </c>
      <c r="G16" s="2">
        <f>HYPERLINK("https://itrix.uz/product/246", "🔗 Купить продукт")</f>
        <v/>
      </c>
    </row>
    <row r="17" ht="30" customHeight="1">
      <c r="A17" s="5" t="inlineStr">
        <is>
          <t>Точки доступа WiFi</t>
        </is>
      </c>
      <c r="B17" s="5" t="inlineStr">
        <is>
          <t>UniFi AP AC Mesh</t>
        </is>
      </c>
      <c r="C17" s="2" t="inlineStr"/>
      <c r="D17" s="2" t="n">
        <v>728000</v>
      </c>
      <c r="E17" s="2" t="n">
        <v>650000</v>
      </c>
      <c r="F17" s="2" t="inlineStr">
        <is>
          <t>UniFi UBIQUITI</t>
        </is>
      </c>
      <c r="G17" s="2">
        <f>HYPERLINK("https://itrix.uz/product/299", "🔗 Купить продукт")</f>
        <v/>
      </c>
    </row>
    <row r="18" ht="30" customHeight="1">
      <c r="A18" s="5" t="inlineStr">
        <is>
          <t>Точки доступа WiFi</t>
        </is>
      </c>
      <c r="B18" s="5" t="inlineStr">
        <is>
          <t>Ubiquiti UniFi 7 Professional</t>
        </is>
      </c>
      <c r="C18" s="2" t="inlineStr"/>
      <c r="D18" s="2" t="n">
        <v>728000</v>
      </c>
      <c r="E18" s="2" t="n">
        <v>650000</v>
      </c>
      <c r="F18" s="2" t="inlineStr">
        <is>
          <t>UniFi UBIQUITI</t>
        </is>
      </c>
      <c r="G18" s="2">
        <f>HYPERLINK("https://itrix.uz/product/301", "🔗 Купить продукт")</f>
        <v/>
      </c>
    </row>
    <row r="19" ht="30" customHeight="1">
      <c r="A19" s="5" t="inlineStr">
        <is>
          <t>Точки доступа WiFi</t>
        </is>
      </c>
      <c r="B19" s="5" t="inlineStr">
        <is>
          <t>Ubiquiti Unifi 6 Plus</t>
        </is>
      </c>
      <c r="C19" s="2" t="inlineStr"/>
      <c r="D19" s="2" t="n">
        <v>728000</v>
      </c>
      <c r="E19" s="2" t="n">
        <v>650000</v>
      </c>
      <c r="F19" s="2" t="inlineStr">
        <is>
          <t>UniFi UBIQUITI</t>
        </is>
      </c>
      <c r="G19" s="2">
        <f>HYPERLINK("https://itrix.uz/product/303", "🔗 Купить продукт")</f>
        <v/>
      </c>
    </row>
    <row r="20" ht="30" customHeight="1">
      <c r="A20" s="5" t="inlineStr">
        <is>
          <t>Точки доступа WiFi</t>
        </is>
      </c>
      <c r="B20" s="5" t="inlineStr">
        <is>
          <t>Ubiquiti Unifi 6 Extender</t>
        </is>
      </c>
      <c r="C20" s="2" t="inlineStr"/>
      <c r="D20" s="2" t="n">
        <v>728000</v>
      </c>
      <c r="E20" s="2" t="n">
        <v>650000</v>
      </c>
      <c r="F20" s="2" t="inlineStr">
        <is>
          <t>UniFi UBIQUITI</t>
        </is>
      </c>
      <c r="G20" s="2">
        <f>HYPERLINK("https://itrix.uz/product/305", "🔗 Купить продукт")</f>
        <v/>
      </c>
    </row>
    <row r="21" ht="30" customHeight="1">
      <c r="A21" s="5" t="inlineStr">
        <is>
          <t>Точки доступа WiFi</t>
        </is>
      </c>
      <c r="B21" s="5" t="inlineStr">
        <is>
          <t>Ubiquiti Unifi express wi fi</t>
        </is>
      </c>
      <c r="C21" s="2" t="inlineStr"/>
      <c r="D21" s="2" t="n">
        <v>728000</v>
      </c>
      <c r="E21" s="2" t="n">
        <v>650000</v>
      </c>
      <c r="F21" s="2" t="inlineStr">
        <is>
          <t>UniFi UBIQUITI</t>
        </is>
      </c>
      <c r="G21" s="2">
        <f>HYPERLINK("https://itrix.uz/product/307", "🔗 Купить продукт")</f>
        <v/>
      </c>
    </row>
    <row r="22" ht="30" customHeight="1">
      <c r="A22" s="5" t="inlineStr">
        <is>
          <t>Точки доступа WiFi</t>
        </is>
      </c>
      <c r="B22" s="5" t="inlineStr">
        <is>
          <t>Ubiquiti Unifi Cloud Gateway Ultra</t>
        </is>
      </c>
      <c r="C22" s="2" t="inlineStr"/>
      <c r="D22" s="2" t="n">
        <v>728000</v>
      </c>
      <c r="E22" s="2" t="n">
        <v>650000</v>
      </c>
      <c r="F22" s="2" t="inlineStr">
        <is>
          <t>UniFi UBIQUITI</t>
        </is>
      </c>
      <c r="G22" s="2">
        <f>HYPERLINK("https://itrix.uz/product/308", "🔗 Купить продукт")</f>
        <v/>
      </c>
    </row>
    <row r="23" ht="30" customHeight="1">
      <c r="A23" s="5" t="inlineStr">
        <is>
          <t>Точки доступа WiFi</t>
        </is>
      </c>
      <c r="B23" s="5" t="inlineStr">
        <is>
          <t>Ubiquit UniFi Dream Router</t>
        </is>
      </c>
      <c r="C23" s="2" t="inlineStr"/>
      <c r="D23" s="2" t="n">
        <v>728000</v>
      </c>
      <c r="E23" s="2" t="n">
        <v>650000</v>
      </c>
      <c r="F23" s="2" t="inlineStr">
        <is>
          <t>UniFi UBIQUITI</t>
        </is>
      </c>
      <c r="G23" s="2">
        <f>HYPERLINK("https://itrix.uz/product/309", "🔗 Купить продукт")</f>
        <v/>
      </c>
    </row>
    <row r="24" ht="30" customHeight="1">
      <c r="A24" s="5" t="inlineStr">
        <is>
          <t>Точки доступа WiFi</t>
        </is>
      </c>
      <c r="B24" s="5" t="inlineStr">
        <is>
          <t>Ubiquiti PowerBeam 5AC Gen</t>
        </is>
      </c>
      <c r="C24" s="2" t="inlineStr"/>
      <c r="D24" s="2" t="n">
        <v>728000</v>
      </c>
      <c r="E24" s="2" t="n">
        <v>650000</v>
      </c>
      <c r="F24" s="2" t="inlineStr">
        <is>
          <t>UniFi UBIQUITI</t>
        </is>
      </c>
      <c r="G24" s="2">
        <f>HYPERLINK("https://itrix.uz/product/314", "🔗 Купить продукт")</f>
        <v/>
      </c>
    </row>
    <row r="25" ht="30" customHeight="1">
      <c r="A25" s="5" t="inlineStr">
        <is>
          <t>Точки доступа WiFi</t>
        </is>
      </c>
      <c r="B25" s="5" t="inlineStr">
        <is>
          <t>Точка доступа MikroTik hAP ac 2</t>
        </is>
      </c>
      <c r="C25" s="2" t="inlineStr"/>
      <c r="D25" s="2" t="n">
        <v>728000</v>
      </c>
      <c r="E25" s="2" t="n">
        <v>650000</v>
      </c>
      <c r="F25" s="2" t="inlineStr">
        <is>
          <t>Mikrotik</t>
        </is>
      </c>
      <c r="G25" s="2">
        <f>HYPERLINK("https://itrix.uz/product/316", "🔗 Купить продукт")</f>
        <v/>
      </c>
    </row>
    <row r="26" ht="30" customHeight="1">
      <c r="A26" s="5" t="inlineStr">
        <is>
          <t>Точки доступа WiFi</t>
        </is>
      </c>
      <c r="B26" s="5" t="inlineStr">
        <is>
          <t>Точка доступа MikroTik SXTsq Lite5</t>
        </is>
      </c>
      <c r="C26" s="2" t="inlineStr"/>
      <c r="D26" s="2" t="n">
        <v>728000</v>
      </c>
      <c r="E26" s="2" t="n">
        <v>650000</v>
      </c>
      <c r="F26" s="2" t="inlineStr">
        <is>
          <t>Mikrotik</t>
        </is>
      </c>
      <c r="G26" s="2">
        <f>HYPERLINK("https://itrix.uz/product/248", "🔗 Купить продукт")</f>
        <v/>
      </c>
    </row>
    <row r="27" ht="30" customHeight="1">
      <c r="A27" s="5" t="inlineStr">
        <is>
          <t>Точки доступа WiFi</t>
        </is>
      </c>
      <c r="B27" s="5" t="inlineStr">
        <is>
          <t>Точка доступа MikroTik wAP ac (белый)</t>
        </is>
      </c>
      <c r="C27" s="2" t="inlineStr"/>
      <c r="D27" s="2" t="n">
        <v>728000</v>
      </c>
      <c r="E27" s="2" t="n">
        <v>650000</v>
      </c>
      <c r="F27" s="2" t="inlineStr">
        <is>
          <t>Mikrotik</t>
        </is>
      </c>
      <c r="G27" s="2">
        <f>HYPERLINK("https://itrix.uz/product/252", "🔗 Купить продукт")</f>
        <v/>
      </c>
    </row>
    <row r="28" ht="30" customHeight="1">
      <c r="A28" s="5" t="inlineStr">
        <is>
          <t>Точки доступа WiFi</t>
        </is>
      </c>
      <c r="B28" s="5" t="inlineStr">
        <is>
          <t>Точка доступа MikroTik Disc Lite5</t>
        </is>
      </c>
      <c r="C28" s="2" t="inlineStr"/>
      <c r="D28" s="2" t="n">
        <v>728000</v>
      </c>
      <c r="E28" s="2" t="n">
        <v>650000</v>
      </c>
      <c r="F28" s="2" t="inlineStr">
        <is>
          <t>Mikrotik</t>
        </is>
      </c>
      <c r="G28" s="2">
        <f>HYPERLINK("https://itrix.uz/product/255", "🔗 Купить продукт")</f>
        <v/>
      </c>
    </row>
    <row r="29" ht="30" customHeight="1">
      <c r="A29" s="5" t="inlineStr">
        <is>
          <t>Точки доступа WiFi</t>
        </is>
      </c>
      <c r="B29" s="5" t="inlineStr">
        <is>
          <t xml:space="preserve">Ubiquiti UniFi 6 Professional </t>
        </is>
      </c>
      <c r="C29" s="2" t="inlineStr"/>
      <c r="D29" s="2" t="n">
        <v>728000</v>
      </c>
      <c r="E29" s="2" t="n">
        <v>650000</v>
      </c>
      <c r="F29" s="2" t="inlineStr">
        <is>
          <t>UniFi UBIQUITI</t>
        </is>
      </c>
      <c r="G29" s="2">
        <f>HYPERLINK("https://itrix.uz/product/302", "🔗 Купить продукт")</f>
        <v/>
      </c>
    </row>
    <row r="30" ht="30" customHeight="1">
      <c r="A30" s="5" t="inlineStr">
        <is>
          <t>Точки доступа WiFi</t>
        </is>
      </c>
      <c r="B30" s="5" t="inlineStr">
        <is>
          <t>Ubiquiti Unifi 6 Mesh</t>
        </is>
      </c>
      <c r="C30" s="2" t="inlineStr"/>
      <c r="D30" s="2" t="n">
        <v>728000</v>
      </c>
      <c r="E30" s="2" t="n">
        <v>650000</v>
      </c>
      <c r="F30" s="2" t="inlineStr">
        <is>
          <t>UniFi UBIQUITI</t>
        </is>
      </c>
      <c r="G30" s="2">
        <f>HYPERLINK("https://itrix.uz/product/304", "🔗 Купить продукт")</f>
        <v/>
      </c>
    </row>
    <row r="31" ht="30" customHeight="1">
      <c r="A31" s="5" t="inlineStr">
        <is>
          <t>Точки доступа WiFi</t>
        </is>
      </c>
      <c r="B31" s="5" t="inlineStr">
        <is>
          <t>Ubiquiti Unifi – LiteBeam 5AC Gen 2</t>
        </is>
      </c>
      <c r="C31" s="2" t="inlineStr"/>
      <c r="D31" s="2" t="n">
        <v>728000</v>
      </c>
      <c r="E31" s="2" t="n">
        <v>650000</v>
      </c>
      <c r="F31" s="2" t="inlineStr">
        <is>
          <t>UniFi UBIQUITI</t>
        </is>
      </c>
      <c r="G31" s="2">
        <f>HYPERLINK("https://itrix.uz/product/313", "🔗 Купить продукт")</f>
        <v/>
      </c>
    </row>
    <row r="32" ht="30" customHeight="1">
      <c r="A32" s="5" t="inlineStr">
        <is>
          <t>Точки доступа WiFi</t>
        </is>
      </c>
      <c r="B32" s="5" t="inlineStr">
        <is>
          <t>Ubiquiti Unifi 6 In Wall</t>
        </is>
      </c>
      <c r="C32" s="2" t="inlineStr"/>
      <c r="D32" s="2" t="n">
        <v>728000</v>
      </c>
      <c r="E32" s="2" t="n">
        <v>650000</v>
      </c>
      <c r="F32" s="2" t="inlineStr">
        <is>
          <t>UniFi UBIQUITI</t>
        </is>
      </c>
      <c r="G32" s="2">
        <f>HYPERLINK("https://itrix.uz/product/306", "🔗 Купить продукт")</f>
        <v/>
      </c>
    </row>
    <row r="33" ht="30" customHeight="1">
      <c r="A33" s="5" t="inlineStr">
        <is>
          <t>Точки доступа WiFi</t>
        </is>
      </c>
      <c r="B33" s="5" t="inlineStr">
        <is>
          <t>Ubiquiti Unifi NanoStation 5AC Loco</t>
        </is>
      </c>
      <c r="C33" s="2" t="inlineStr"/>
      <c r="D33" s="2" t="n">
        <v>728000</v>
      </c>
      <c r="E33" s="2" t="n">
        <v>650000</v>
      </c>
      <c r="F33" s="2" t="inlineStr">
        <is>
          <t>UniFi UBIQUITI</t>
        </is>
      </c>
      <c r="G33" s="2">
        <f>HYPERLINK("https://itrix.uz/product/312", "🔗 Купить продукт")</f>
        <v/>
      </c>
    </row>
    <row r="34" ht="30" customHeight="1">
      <c r="A34" s="5" t="inlineStr">
        <is>
          <t>Точки доступа WiFi</t>
        </is>
      </c>
      <c r="B34" s="5" t="inlineStr">
        <is>
          <t>Ubiquiti Unifi LAP 120 ac</t>
        </is>
      </c>
      <c r="C34" s="2" t="inlineStr"/>
      <c r="D34" s="2" t="n">
        <v>728000</v>
      </c>
      <c r="E34" s="2" t="n">
        <v>650000</v>
      </c>
      <c r="F34" s="2" t="inlineStr">
        <is>
          <t>UniFi UBIQUITI</t>
        </is>
      </c>
      <c r="G34" s="2">
        <f>HYPERLINK("https://itrix.uz/product/315", "🔗 Купить продукт")</f>
        <v/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tabColor rgb="000AA4A7"/>
    <outlinePr summaryBelow="1" summaryRight="1"/>
    <pageSetUpPr/>
  </sheetPr>
  <dimension ref="A1:G14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10" customWidth="1" min="6" max="6"/>
    <col width="25" customWidth="1" min="7" max="7"/>
  </cols>
  <sheetData>
    <row r="1" ht="30" customHeight="1">
      <c r="A1" s="3" t="inlineStr">
        <is>
          <t>Категория</t>
        </is>
      </c>
      <c r="B1" s="3" t="inlineStr">
        <is>
          <t>Наименование</t>
        </is>
      </c>
      <c r="C1" s="4" t="inlineStr">
        <is>
          <t>Гарантия</t>
        </is>
      </c>
      <c r="D1" s="4" t="inlineStr">
        <is>
          <t>Цена с НДС</t>
        </is>
      </c>
      <c r="E1" s="4" t="inlineStr">
        <is>
          <t>Цена без НДС</t>
        </is>
      </c>
      <c r="F1" s="4" t="inlineStr">
        <is>
          <t>Бренд</t>
        </is>
      </c>
      <c r="G1" s="4" t="inlineStr">
        <is>
          <t>На сайте</t>
        </is>
      </c>
    </row>
    <row r="2" ht="30" customHeight="1">
      <c r="A2" s="5" t="inlineStr">
        <is>
          <t>Маршрутизаторы</t>
        </is>
      </c>
      <c r="B2" s="5" t="inlineStr">
        <is>
          <t>Маршрутизатор MikroTik RB2011UiAS-RM</t>
        </is>
      </c>
      <c r="C2" s="2" t="inlineStr"/>
      <c r="D2" s="2" t="n">
        <v>728000</v>
      </c>
      <c r="E2" s="2" t="n">
        <v>650000</v>
      </c>
      <c r="F2" s="2" t="inlineStr">
        <is>
          <t>Mikrotik</t>
        </is>
      </c>
      <c r="G2" s="2">
        <f>HYPERLINK("https://itrix.uz/product/232", "🔗 Купить продукт")</f>
        <v/>
      </c>
    </row>
    <row r="3" ht="30" customHeight="1">
      <c r="A3" s="5" t="inlineStr">
        <is>
          <t>Маршрутизаторы</t>
        </is>
      </c>
      <c r="B3" s="5" t="inlineStr">
        <is>
          <t>Маршрутизатор MikroTik RB3011UiAS-RM</t>
        </is>
      </c>
      <c r="C3" s="2" t="inlineStr"/>
      <c r="D3" s="2" t="n">
        <v>728000</v>
      </c>
      <c r="E3" s="2" t="n">
        <v>650000</v>
      </c>
      <c r="F3" s="2" t="inlineStr">
        <is>
          <t>Mikrotik</t>
        </is>
      </c>
      <c r="G3" s="2">
        <f>HYPERLINK("https://itrix.uz/product/234", "🔗 Купить продукт")</f>
        <v/>
      </c>
    </row>
    <row r="4" ht="30" customHeight="1">
      <c r="A4" s="5" t="inlineStr">
        <is>
          <t>Маршрутизаторы</t>
        </is>
      </c>
      <c r="B4" s="5" t="inlineStr">
        <is>
          <t>Маршрутизатор Mikrotik RB4011iGS+RM</t>
        </is>
      </c>
      <c r="C4" s="2" t="inlineStr"/>
      <c r="D4" s="2" t="n">
        <v>728000</v>
      </c>
      <c r="E4" s="2" t="n">
        <v>650000</v>
      </c>
      <c r="F4" s="2" t="inlineStr">
        <is>
          <t>Mikrotik</t>
        </is>
      </c>
      <c r="G4" s="2">
        <f>HYPERLINK("https://itrix.uz/product/235", "🔗 Купить продукт")</f>
        <v/>
      </c>
    </row>
    <row r="5" ht="30" customHeight="1">
      <c r="A5" s="5" t="inlineStr">
        <is>
          <t>Маршрутизаторы</t>
        </is>
      </c>
      <c r="B5" s="5" t="inlineStr">
        <is>
          <t>Маршрутизатор MikroTik CCR1036-12G-4S-EM</t>
        </is>
      </c>
      <c r="C5" s="2" t="inlineStr"/>
      <c r="D5" s="2" t="n">
        <v>728000</v>
      </c>
      <c r="E5" s="2" t="n">
        <v>650000</v>
      </c>
      <c r="F5" s="2" t="inlineStr">
        <is>
          <t>Mikrotik</t>
        </is>
      </c>
      <c r="G5" s="2">
        <f>HYPERLINK("https://itrix.uz/product/236", "🔗 Купить продукт")</f>
        <v/>
      </c>
    </row>
    <row r="6" ht="30" customHeight="1">
      <c r="A6" s="5" t="inlineStr">
        <is>
          <t>Маршрутизаторы</t>
        </is>
      </c>
      <c r="B6" s="5" t="inlineStr">
        <is>
          <t>Маршрутизатор Mikrotik CCR1009-7G-1C-1S+</t>
        </is>
      </c>
      <c r="C6" s="2" t="inlineStr"/>
      <c r="D6" s="2" t="n">
        <v>728000</v>
      </c>
      <c r="E6" s="2" t="n">
        <v>650000</v>
      </c>
      <c r="F6" s="2" t="inlineStr">
        <is>
          <t>Mikrotik</t>
        </is>
      </c>
      <c r="G6" s="2">
        <f>HYPERLINK("https://itrix.uz/product/240", "🔗 Купить продукт")</f>
        <v/>
      </c>
    </row>
    <row r="7" ht="30" customHeight="1">
      <c r="A7" s="5" t="inlineStr">
        <is>
          <t>Маршрутизаторы</t>
        </is>
      </c>
      <c r="B7" s="5" t="inlineStr">
        <is>
          <t>Маршрутизатор MikroTik CCR2116-12G-4S+</t>
        </is>
      </c>
      <c r="C7" s="2" t="inlineStr"/>
      <c r="D7" s="2" t="n">
        <v>728000</v>
      </c>
      <c r="E7" s="2" t="n">
        <v>650000</v>
      </c>
      <c r="F7" s="2" t="inlineStr">
        <is>
          <t>Mikrotik</t>
        </is>
      </c>
      <c r="G7" s="2">
        <f>HYPERLINK("https://itrix.uz/product/241", "🔗 Купить продукт")</f>
        <v/>
      </c>
    </row>
    <row r="8" ht="30" customHeight="1">
      <c r="A8" s="5" t="inlineStr">
        <is>
          <t>Маршрутизаторы</t>
        </is>
      </c>
      <c r="B8" s="5" t="inlineStr">
        <is>
          <t>Маршрутизатор MikroTik CCR1009-7G-1C-1S+PC</t>
        </is>
      </c>
      <c r="C8" s="2" t="inlineStr"/>
      <c r="D8" s="2" t="n">
        <v>728000</v>
      </c>
      <c r="E8" s="2" t="n">
        <v>650000</v>
      </c>
      <c r="F8" s="2" t="inlineStr">
        <is>
          <t>Mikrotik</t>
        </is>
      </c>
      <c r="G8" s="2">
        <f>HYPERLINK("https://itrix.uz/product/239", "🔗 Купить продукт")</f>
        <v/>
      </c>
    </row>
    <row r="9" ht="30" customHeight="1">
      <c r="A9" s="5" t="inlineStr">
        <is>
          <t>Маршрутизаторы</t>
        </is>
      </c>
      <c r="B9" s="5" t="inlineStr">
        <is>
          <t>Маршрутизатор MikroTik RB1100AHx4</t>
        </is>
      </c>
      <c r="C9" s="2" t="inlineStr"/>
      <c r="D9" s="2" t="n">
        <v>728000</v>
      </c>
      <c r="E9" s="2" t="n">
        <v>650000</v>
      </c>
      <c r="F9" s="2" t="inlineStr">
        <is>
          <t>Mikrotik</t>
        </is>
      </c>
      <c r="G9" s="2">
        <f>HYPERLINK("https://itrix.uz/product/237", "🔗 Купить продукт")</f>
        <v/>
      </c>
    </row>
    <row r="10" ht="30" customHeight="1">
      <c r="A10" s="5" t="inlineStr">
        <is>
          <t>Маршрутизаторы</t>
        </is>
      </c>
      <c r="B10" s="5" t="inlineStr">
        <is>
          <t>Маршрутизатор MikroTik RB1100Dx4</t>
        </is>
      </c>
      <c r="C10" s="2" t="inlineStr"/>
      <c r="D10" s="2" t="n">
        <v>728000</v>
      </c>
      <c r="E10" s="2" t="n">
        <v>650000</v>
      </c>
      <c r="F10" s="2" t="inlineStr">
        <is>
          <t>Mikrotik</t>
        </is>
      </c>
      <c r="G10" s="2">
        <f>HYPERLINK("https://itrix.uz/product/238", "🔗 Купить продукт")</f>
        <v/>
      </c>
    </row>
    <row r="11" ht="30" customHeight="1">
      <c r="A11" s="5" t="inlineStr">
        <is>
          <t>Маршрутизаторы</t>
        </is>
      </c>
      <c r="B11" s="5" t="inlineStr">
        <is>
          <t>Маршрутизатор MikroTik hEX S RB760iGS</t>
        </is>
      </c>
      <c r="C11" s="2" t="inlineStr"/>
      <c r="D11" s="2" t="n">
        <v>728000</v>
      </c>
      <c r="E11" s="2" t="n">
        <v>650000</v>
      </c>
      <c r="F11" s="2" t="inlineStr">
        <is>
          <t>Mikrotik</t>
        </is>
      </c>
      <c r="G11" s="2">
        <f>HYPERLINK("https://itrix.uz/product/242", "🔗 Купить продукт")</f>
        <v/>
      </c>
    </row>
    <row r="12" ht="30" customHeight="1">
      <c r="A12" s="5" t="inlineStr">
        <is>
          <t>Маршрутизаторы</t>
        </is>
      </c>
      <c r="B12" s="5" t="inlineStr">
        <is>
          <t>UniFi Dream Machine Special Edition</t>
        </is>
      </c>
      <c r="C12" s="2" t="inlineStr"/>
      <c r="D12" s="2" t="n">
        <v>728000</v>
      </c>
      <c r="E12" s="2" t="n">
        <v>650000</v>
      </c>
      <c r="F12" s="2" t="inlineStr">
        <is>
          <t>UniFi UBIQUITI</t>
        </is>
      </c>
      <c r="G12" s="2">
        <f>HYPERLINK("https://itrix.uz/product/311", "🔗 Купить продукт")</f>
        <v/>
      </c>
    </row>
    <row r="13" ht="30" customHeight="1">
      <c r="A13" s="5" t="inlineStr">
        <is>
          <t>Маршрутизаторы</t>
        </is>
      </c>
      <c r="B13" s="5" t="inlineStr">
        <is>
          <t>Маршрутизатор MikroTik hEX PoE RB960PGS</t>
        </is>
      </c>
      <c r="C13" s="2" t="inlineStr"/>
      <c r="D13" s="2" t="n">
        <v>728000</v>
      </c>
      <c r="E13" s="2" t="n">
        <v>650000</v>
      </c>
      <c r="F13" s="2" t="inlineStr">
        <is>
          <t>Mikrotik</t>
        </is>
      </c>
      <c r="G13" s="2">
        <f>HYPERLINK("https://itrix.uz/product/247", "🔗 Купить продукт")</f>
        <v/>
      </c>
    </row>
    <row r="14" ht="30" customHeight="1">
      <c r="A14" s="5" t="inlineStr">
        <is>
          <t>Маршрутизаторы</t>
        </is>
      </c>
      <c r="B14" s="5" t="inlineStr">
        <is>
          <t xml:space="preserve">Ubiquit UniFi Dream Machine Professional </t>
        </is>
      </c>
      <c r="C14" s="2" t="inlineStr"/>
      <c r="D14" s="2" t="n">
        <v>728000</v>
      </c>
      <c r="E14" s="2" t="n">
        <v>650000</v>
      </c>
      <c r="F14" s="2" t="inlineStr">
        <is>
          <t>UniFi UBIQUITI</t>
        </is>
      </c>
      <c r="G14" s="2">
        <f>HYPERLINK("https://itrix.uz/product/310", "🔗 Купить продукт")</f>
        <v/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tabColor rgb="003564EE"/>
    <outlinePr summaryBelow="1" summaryRight="1"/>
    <pageSetUpPr/>
  </sheetPr>
  <dimension ref="A1:G6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10" customWidth="1" min="6" max="6"/>
    <col width="25" customWidth="1" min="7" max="7"/>
  </cols>
  <sheetData>
    <row r="1" ht="30" customHeight="1">
      <c r="A1" s="3" t="inlineStr">
        <is>
          <t>Категория</t>
        </is>
      </c>
      <c r="B1" s="3" t="inlineStr">
        <is>
          <t>Наименование</t>
        </is>
      </c>
      <c r="C1" s="4" t="inlineStr">
        <is>
          <t>Гарантия</t>
        </is>
      </c>
      <c r="D1" s="4" t="inlineStr">
        <is>
          <t>Цена с НДС</t>
        </is>
      </c>
      <c r="E1" s="4" t="inlineStr">
        <is>
          <t>Цена без НДС</t>
        </is>
      </c>
      <c r="F1" s="4" t="inlineStr">
        <is>
          <t>Бренд</t>
        </is>
      </c>
      <c r="G1" s="4" t="inlineStr">
        <is>
          <t>На сайте</t>
        </is>
      </c>
    </row>
    <row r="2" ht="30" customHeight="1">
      <c r="A2" s="5" t="inlineStr">
        <is>
          <t>Серверы</t>
        </is>
      </c>
      <c r="B2" s="5" t="inlineStr">
        <is>
          <t>Rack 1U 8 SFF</t>
        </is>
      </c>
      <c r="C2" s="2" t="inlineStr"/>
      <c r="D2" s="2" t="n">
        <v>728000</v>
      </c>
      <c r="E2" s="2" t="n">
        <v>650000</v>
      </c>
      <c r="F2" s="2" t="inlineStr">
        <is>
          <t>HPE</t>
        </is>
      </c>
      <c r="G2" s="2">
        <f>HYPERLINK("https://itrix.uz/product/141", "🔗 Купить продукт")</f>
        <v/>
      </c>
    </row>
    <row r="3" ht="30" customHeight="1">
      <c r="A3" s="5" t="inlineStr">
        <is>
          <t>Серверы</t>
        </is>
      </c>
      <c r="B3" s="5" t="inlineStr">
        <is>
          <t>Rack 2U 16 SFF</t>
        </is>
      </c>
      <c r="C3" s="2" t="inlineStr"/>
      <c r="D3" s="2" t="n">
        <v>728000</v>
      </c>
      <c r="E3" s="2" t="n">
        <v>650000</v>
      </c>
      <c r="F3" s="2" t="inlineStr">
        <is>
          <t>HPE</t>
        </is>
      </c>
      <c r="G3" s="2">
        <f>HYPERLINK("https://itrix.uz/product/142", "🔗 Купить продукт")</f>
        <v/>
      </c>
    </row>
    <row r="4" ht="30" customHeight="1">
      <c r="A4" s="5" t="inlineStr">
        <is>
          <t>Серверы</t>
        </is>
      </c>
      <c r="B4" s="5" t="inlineStr">
        <is>
          <t>Rack 2U 24 SFF</t>
        </is>
      </c>
      <c r="C4" s="2" t="inlineStr"/>
      <c r="D4" s="2" t="n">
        <v>728000</v>
      </c>
      <c r="E4" s="2" t="n">
        <v>650000</v>
      </c>
      <c r="F4" s="2" t="inlineStr">
        <is>
          <t>HPE</t>
        </is>
      </c>
      <c r="G4" s="2">
        <f>HYPERLINK("https://itrix.uz/product/143", "🔗 Купить продукт")</f>
        <v/>
      </c>
    </row>
    <row r="5">
      <c r="A5" s="5" t="inlineStr">
        <is>
          <t>Cервер для 1С</t>
        </is>
      </c>
      <c r="B5" s="5" t="inlineStr">
        <is>
          <t>Rax 1 | Процессоры: Intel® C252 Chipset - 1U - 4x 3.5" SATA/SAS - 1x M.2 NVMe - Dual 1-Gigabit Ethernet (RJ45) - Intel® C252 Chipset - 1U - 4x 3.5" SATA/SAS - 1x M.2 NVMe - Dual 1-Gigabit Ethernet (RJ45) - 350W Power Supply | Оперативная память (RAM): Memory  - 16GB</t>
        </is>
      </c>
      <c r="C5" s="2" t="inlineStr">
        <is>
          <t>Гарантия 12 мес.</t>
        </is>
      </c>
      <c r="D5" s="2" t="n">
        <v>8736000</v>
      </c>
      <c r="E5" s="2" t="n">
        <v>7800000</v>
      </c>
      <c r="F5" s="2" t="inlineStr">
        <is>
          <t>RAX</t>
        </is>
      </c>
      <c r="G5" s="2">
        <f>HYPERLINK("https://itrix.uz/configuration/3", "🔗 Купить продукт")</f>
        <v/>
      </c>
    </row>
    <row r="6" ht="30" customHeight="1">
      <c r="A6" s="5" t="inlineStr">
        <is>
          <t>Серверы</t>
        </is>
      </c>
      <c r="B6" s="5" t="inlineStr">
        <is>
          <t>Rack 2U 8 SFF</t>
        </is>
      </c>
      <c r="C6" s="2" t="inlineStr"/>
      <c r="D6" s="2" t="n">
        <v>0</v>
      </c>
      <c r="E6" s="2" t="n">
        <v>0</v>
      </c>
      <c r="F6" s="2" t="inlineStr">
        <is>
          <t>HPE</t>
        </is>
      </c>
      <c r="G6" s="2">
        <f>HYPERLINK("https://itrix.uz/configuration/140", "🔗 Купить продукт")</f>
        <v/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tabColor rgb="00A00173"/>
    <outlinePr summaryBelow="1" summaryRight="1"/>
    <pageSetUpPr/>
  </sheetPr>
  <dimension ref="A1:G145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10" customWidth="1" min="6" max="6"/>
    <col width="25" customWidth="1" min="7" max="7"/>
  </cols>
  <sheetData>
    <row r="1" ht="30" customHeight="1">
      <c r="A1" s="3" t="inlineStr">
        <is>
          <t>Категория</t>
        </is>
      </c>
      <c r="B1" s="3" t="inlineStr">
        <is>
          <t>Наименование</t>
        </is>
      </c>
      <c r="C1" s="4" t="inlineStr">
        <is>
          <t>Гарантия</t>
        </is>
      </c>
      <c r="D1" s="4" t="inlineStr">
        <is>
          <t>Цена с НДС</t>
        </is>
      </c>
      <c r="E1" s="4" t="inlineStr">
        <is>
          <t>Цена без НДС</t>
        </is>
      </c>
      <c r="F1" s="4" t="inlineStr">
        <is>
          <t>Бренд</t>
        </is>
      </c>
      <c r="G1" s="4" t="inlineStr">
        <is>
          <t>На сайте</t>
        </is>
      </c>
    </row>
    <row r="2" ht="30" customHeight="1">
      <c r="A2" s="5" t="inlineStr">
        <is>
          <t>Аксессуары</t>
        </is>
      </c>
      <c r="B2" s="5" t="inlineStr">
        <is>
          <t>Вентилятор DELL R750 R7525 Silver High Performance Fan</t>
        </is>
      </c>
      <c r="C2" s="2" t="inlineStr"/>
      <c r="D2" s="2" t="n">
        <v>698880</v>
      </c>
      <c r="E2" s="2" t="n">
        <v>624000</v>
      </c>
      <c r="F2" s="2" t="inlineStr">
        <is>
          <t>Dell</t>
        </is>
      </c>
      <c r="G2" s="2">
        <f>HYPERLINK("https://itrix.uz/product/125", "🔗 Купить продукт")</f>
        <v/>
      </c>
    </row>
    <row r="3" ht="30" customHeight="1">
      <c r="A3" s="5" t="inlineStr">
        <is>
          <t>Процессоры</t>
        </is>
      </c>
      <c r="B3" s="5" t="inlineStr">
        <is>
          <t>Intel Xeon-Silver 4210R (2.4GHz/10-core/100W)</t>
        </is>
      </c>
      <c r="C3" s="2" t="inlineStr"/>
      <c r="D3" s="2" t="n">
        <v>6304480</v>
      </c>
      <c r="E3" s="2" t="n">
        <v>5629000</v>
      </c>
      <c r="F3" s="2" t="inlineStr">
        <is>
          <t>Intel</t>
        </is>
      </c>
      <c r="G3" s="2">
        <f>HYPERLINK("https://itrix.uz/product/336", "🔗 Купить продукт")</f>
        <v/>
      </c>
    </row>
    <row r="4" ht="30" customHeight="1">
      <c r="A4" s="5" t="inlineStr">
        <is>
          <t>Блоки питания</t>
        </is>
      </c>
      <c r="B4" s="5" t="inlineStr">
        <is>
          <t>Блок питания Dell Power Supply (1 PSU) 1400W Hot Plug, G15 G16</t>
        </is>
      </c>
      <c r="C4" s="2" t="inlineStr"/>
      <c r="D4" s="2" t="n">
        <v>4469920</v>
      </c>
      <c r="E4" s="2" t="n">
        <v>3991000</v>
      </c>
      <c r="F4" s="2" t="inlineStr">
        <is>
          <t>Dell</t>
        </is>
      </c>
      <c r="G4" s="2">
        <f>HYPERLINK("https://itrix.uz/product/159", "🔗 Купить продукт")</f>
        <v/>
      </c>
    </row>
    <row r="5" ht="30" customHeight="1">
      <c r="A5" s="5" t="inlineStr">
        <is>
          <t>Жёсткие диски SSD</t>
        </is>
      </c>
      <c r="B5" s="5" t="inlineStr">
        <is>
          <t>SSD Накопитель SAMSUNG 960GB PM1643a / SAS / MU / SSD</t>
        </is>
      </c>
      <c r="C5" s="2" t="inlineStr"/>
      <c r="D5" s="2" t="n">
        <v>7454720</v>
      </c>
      <c r="E5" s="2" t="n">
        <v>6656000</v>
      </c>
      <c r="F5" s="2" t="inlineStr">
        <is>
          <t>Samsung</t>
        </is>
      </c>
      <c r="G5" s="2">
        <f>HYPERLINK("https://itrix.uz/product/70", "🔗 Купить продукт")</f>
        <v/>
      </c>
    </row>
    <row r="6" ht="30" customHeight="1">
      <c r="A6" s="5" t="inlineStr">
        <is>
          <t>Аксессуары</t>
        </is>
      </c>
      <c r="B6" s="5" t="inlineStr">
        <is>
          <t>HBA-адаптер HPE SN1100Q 16Gb 2-port FC HBA</t>
        </is>
      </c>
      <c r="C6" s="2" t="inlineStr"/>
      <c r="D6" s="2" t="n">
        <v>9813440</v>
      </c>
      <c r="E6" s="2" t="n">
        <v>8762000</v>
      </c>
      <c r="F6" s="2" t="inlineStr">
        <is>
          <t>HPE</t>
        </is>
      </c>
      <c r="G6" s="2">
        <f>HYPERLINK("https://itrix.uz/product/103", "🔗 Купить продукт")</f>
        <v/>
      </c>
    </row>
    <row r="7" ht="30" customHeight="1">
      <c r="A7" s="5" t="inlineStr">
        <is>
          <t>Оперативная память (RAM)</t>
        </is>
      </c>
      <c r="B7" s="5" t="inlineStr">
        <is>
          <t>Оперативная память HPE 16GB DDR4-3200MHz 3200AA UDIMM</t>
        </is>
      </c>
      <c r="C7" s="2" t="inlineStr"/>
      <c r="D7" s="2" t="n">
        <v>829920</v>
      </c>
      <c r="E7" s="2" t="n">
        <v>741000</v>
      </c>
      <c r="F7" s="2" t="inlineStr">
        <is>
          <t>HPE</t>
        </is>
      </c>
      <c r="G7" s="2">
        <f>HYPERLINK("https://itrix.uz/product/95", "🔗 Купить продукт")</f>
        <v/>
      </c>
    </row>
    <row r="8" ht="30" customHeight="1">
      <c r="A8" s="5" t="inlineStr">
        <is>
          <t>Аксессуары</t>
        </is>
      </c>
      <c r="B8" s="5" t="inlineStr">
        <is>
          <t>Радиатор ЦП HPE DL380 G10 AMD High Performance Heatsink</t>
        </is>
      </c>
      <c r="C8" s="2" t="inlineStr"/>
      <c r="D8" s="2" t="n">
        <v>1397760</v>
      </c>
      <c r="E8" s="2" t="n">
        <v>1248000</v>
      </c>
      <c r="F8" s="2" t="inlineStr">
        <is>
          <t>HPE</t>
        </is>
      </c>
      <c r="G8" s="2">
        <f>HYPERLINK("https://itrix.uz/product/113", "🔗 Купить продукт")</f>
        <v/>
      </c>
    </row>
    <row r="9" ht="30" customHeight="1">
      <c r="A9" s="5" t="inlineStr">
        <is>
          <t>Жёсткие диски HDD</t>
        </is>
      </c>
      <c r="B9" s="5" t="inlineStr">
        <is>
          <t>Жёсткий диск DELL 600GB / SAS / 15000 rpm / SFF / 2.5" HDD</t>
        </is>
      </c>
      <c r="C9" s="2" t="inlineStr"/>
      <c r="D9" s="2" t="n">
        <v>2242240</v>
      </c>
      <c r="E9" s="2" t="n">
        <v>2002000</v>
      </c>
      <c r="F9" s="2" t="inlineStr">
        <is>
          <t>Dell</t>
        </is>
      </c>
      <c r="G9" s="2">
        <f>HYPERLINK("https://itrix.uz/product/40", "🔗 Купить продукт")</f>
        <v/>
      </c>
    </row>
    <row r="10" ht="30" customHeight="1">
      <c r="A10" s="5" t="inlineStr">
        <is>
          <t>Аксессуары</t>
        </is>
      </c>
      <c r="B10" s="5" t="inlineStr">
        <is>
          <t xml:space="preserve">Сетевая карта HPE 530SFP+ 10Gb 2-port PCIe Adapter </t>
        </is>
      </c>
      <c r="C10" s="2" t="inlineStr"/>
      <c r="D10" s="2" t="n">
        <v>3989440</v>
      </c>
      <c r="E10" s="2" t="n">
        <v>3562000</v>
      </c>
      <c r="F10" s="2" t="inlineStr">
        <is>
          <t>HPE</t>
        </is>
      </c>
      <c r="G10" s="2">
        <f>HYPERLINK("https://itrix.uz/product/101", "🔗 Купить продукт")</f>
        <v/>
      </c>
    </row>
    <row r="11" ht="30" customHeight="1">
      <c r="A11" s="5" t="inlineStr">
        <is>
          <t>Процессоры</t>
        </is>
      </c>
      <c r="B11" s="5" t="inlineStr">
        <is>
          <t>Intel Xeon-Gold 6248R (3.0GHz/24-core/205W)</t>
        </is>
      </c>
      <c r="C11" s="2" t="inlineStr"/>
      <c r="D11" s="2" t="n">
        <v>30139200</v>
      </c>
      <c r="E11" s="2" t="n">
        <v>26910000</v>
      </c>
      <c r="F11" s="2" t="inlineStr">
        <is>
          <t>Intel</t>
        </is>
      </c>
      <c r="G11" s="2">
        <f>HYPERLINK("https://itrix.uz/product/353", "🔗 Купить продукт")</f>
        <v/>
      </c>
    </row>
    <row r="12" ht="30" customHeight="1">
      <c r="A12" s="5" t="inlineStr">
        <is>
          <t>Оперативная память (RAM)</t>
        </is>
      </c>
      <c r="B12" s="5" t="inlineStr">
        <is>
          <t>Оперативная память HPE 32GB DDR4-2933MHz 2933Y-RB2-12</t>
        </is>
      </c>
      <c r="C12" s="2" t="inlineStr"/>
      <c r="D12" s="2" t="n">
        <v>2591680</v>
      </c>
      <c r="E12" s="2" t="n">
        <v>2314000</v>
      </c>
      <c r="F12" s="2" t="inlineStr">
        <is>
          <t>HPE</t>
        </is>
      </c>
      <c r="G12" s="2">
        <f>HYPERLINK("https://itrix.uz/product/91", "🔗 Купить продукт")</f>
        <v/>
      </c>
    </row>
    <row r="13" ht="30" customHeight="1">
      <c r="A13" s="5" t="inlineStr">
        <is>
          <t>Жёсткие диски HDD</t>
        </is>
      </c>
      <c r="B13" s="5" t="inlineStr">
        <is>
          <t>Жёсткий диск Seagate Exos X16 12TB / SATA / 7200 rpm / LFF / 3.5" HDD</t>
        </is>
      </c>
      <c r="C13" s="2" t="inlineStr"/>
      <c r="D13" s="2" t="n">
        <v>5401760</v>
      </c>
      <c r="E13" s="2" t="n">
        <v>4823000</v>
      </c>
      <c r="F13" s="2" t="inlineStr">
        <is>
          <t>Seagate</t>
        </is>
      </c>
      <c r="G13" s="2">
        <f>HYPERLINK("https://itrix.uz/product/43", "🔗 Купить продукт")</f>
        <v/>
      </c>
    </row>
    <row r="14" ht="30" customHeight="1">
      <c r="A14" s="5" t="inlineStr">
        <is>
          <t>Жёсткие диски HDD</t>
        </is>
      </c>
      <c r="B14" s="5" t="inlineStr">
        <is>
          <t>Жесткий диск HPE 16TB / SAS / 7200 rpm / LFF / 3.5" HDD</t>
        </is>
      </c>
      <c r="C14" s="2" t="inlineStr"/>
      <c r="D14" s="2" t="n">
        <v>9114560</v>
      </c>
      <c r="E14" s="2" t="n">
        <v>8138000</v>
      </c>
      <c r="F14" s="2" t="inlineStr">
        <is>
          <t>HPE</t>
        </is>
      </c>
      <c r="G14" s="2">
        <f>HYPERLINK("https://itrix.uz/product/45", "🔗 Купить продукт")</f>
        <v/>
      </c>
    </row>
    <row r="15" ht="30" customHeight="1">
      <c r="A15" s="5" t="inlineStr">
        <is>
          <t>Жёсткие диски SSD</t>
        </is>
      </c>
      <c r="B15" s="5" t="inlineStr">
        <is>
          <t>SSD Накопитель HPE 1.6TB / SAS / MU / SSD</t>
        </is>
      </c>
      <c r="C15" s="2" t="inlineStr"/>
      <c r="D15" s="2" t="n">
        <v>7716800</v>
      </c>
      <c r="E15" s="2" t="n">
        <v>6890000</v>
      </c>
      <c r="F15" s="2" t="inlineStr">
        <is>
          <t>HPE</t>
        </is>
      </c>
      <c r="G15" s="2">
        <f>HYPERLINK("https://itrix.uz/product/62", "🔗 Купить продукт")</f>
        <v/>
      </c>
    </row>
    <row r="16" ht="30" customHeight="1">
      <c r="A16" s="5" t="inlineStr">
        <is>
          <t>Оперативная память (RAM)</t>
        </is>
      </c>
      <c r="B16" s="5" t="inlineStr">
        <is>
          <t>Оперативная память HPE 64GB DDR4-2933MHz 2933Y</t>
        </is>
      </c>
      <c r="C16" s="2" t="inlineStr"/>
      <c r="D16" s="2" t="n">
        <v>5605600</v>
      </c>
      <c r="E16" s="2" t="n">
        <v>5005000</v>
      </c>
      <c r="F16" s="2" t="inlineStr">
        <is>
          <t>HPE</t>
        </is>
      </c>
      <c r="G16" s="2">
        <f>HYPERLINK("https://itrix.uz/product/92", "🔗 Купить продукт")</f>
        <v/>
      </c>
    </row>
    <row r="17" ht="30" customHeight="1">
      <c r="A17" s="5" t="inlineStr">
        <is>
          <t>Жёсткие диски SSD</t>
        </is>
      </c>
      <c r="B17" s="5" t="inlineStr">
        <is>
          <t>SSD Накопитель Intel 960GB S4610 / MU / SATA / SSD</t>
        </is>
      </c>
      <c r="C17" s="2" t="inlineStr"/>
      <c r="D17" s="2" t="n">
        <v>6260800</v>
      </c>
      <c r="E17" s="2" t="n">
        <v>5590000</v>
      </c>
      <c r="F17" s="2" t="inlineStr">
        <is>
          <t>Intel</t>
        </is>
      </c>
      <c r="G17" s="2">
        <f>HYPERLINK("https://itrix.uz/product/69", "🔗 Купить продукт")</f>
        <v/>
      </c>
    </row>
    <row r="18" ht="30" customHeight="1">
      <c r="A18" s="5" t="inlineStr">
        <is>
          <t>Жёсткие диски SSD</t>
        </is>
      </c>
      <c r="B18" s="5" t="inlineStr">
        <is>
          <t>SSD Накопитель DELL 1.6TB / SAS / MU / SSD</t>
        </is>
      </c>
      <c r="C18" s="2" t="inlineStr"/>
      <c r="D18" s="2" t="n">
        <v>10439520</v>
      </c>
      <c r="E18" s="2" t="n">
        <v>9321000</v>
      </c>
      <c r="F18" s="2" t="inlineStr">
        <is>
          <t>Dell</t>
        </is>
      </c>
      <c r="G18" s="2">
        <f>HYPERLINK("https://itrix.uz/product/61", "🔗 Купить продукт")</f>
        <v/>
      </c>
    </row>
    <row r="19" ht="30" customHeight="1">
      <c r="A19" s="5" t="inlineStr">
        <is>
          <t>Жёсткие диски SSD</t>
        </is>
      </c>
      <c r="B19" s="5" t="inlineStr">
        <is>
          <t>SSD Накопитель Intel 2TB DC P4510 Series / NVMe / RI / SAS / SSD</t>
        </is>
      </c>
      <c r="C19" s="2" t="inlineStr"/>
      <c r="D19" s="2" t="n">
        <v>6304480</v>
      </c>
      <c r="E19" s="2" t="n">
        <v>5629000</v>
      </c>
      <c r="F19" s="2" t="inlineStr">
        <is>
          <t>Intel</t>
        </is>
      </c>
      <c r="G19" s="2">
        <f>HYPERLINK("https://itrix.uz/product/67", "🔗 Купить продукт")</f>
        <v/>
      </c>
    </row>
    <row r="20" ht="30" customHeight="1">
      <c r="A20" s="5" t="inlineStr">
        <is>
          <t>Жёсткие диски SSD</t>
        </is>
      </c>
      <c r="B20" s="5" t="inlineStr">
        <is>
          <t>SSD Накопитель Intel 480GB S4510 / RI / SATA / SSD</t>
        </is>
      </c>
      <c r="C20" s="2" t="inlineStr"/>
      <c r="D20" s="2" t="n">
        <v>2096640</v>
      </c>
      <c r="E20" s="2" t="n">
        <v>1872000</v>
      </c>
      <c r="F20" s="2" t="inlineStr">
        <is>
          <t>Intel</t>
        </is>
      </c>
      <c r="G20" s="2">
        <f>HYPERLINK("https://itrix.uz/product/59", "🔗 Купить продукт")</f>
        <v/>
      </c>
    </row>
    <row r="21" ht="30" customHeight="1">
      <c r="A21" s="5" t="inlineStr">
        <is>
          <t>Жёсткие диски SSD</t>
        </is>
      </c>
      <c r="B21" s="5" t="inlineStr">
        <is>
          <t>SSD Накопитель SAMSUNG 3.84TB PM1643a / SAS / MU / SSD</t>
        </is>
      </c>
      <c r="C21" s="2" t="inlineStr"/>
      <c r="D21" s="2" t="n">
        <v>17603040</v>
      </c>
      <c r="E21" s="2" t="n">
        <v>15717000</v>
      </c>
      <c r="F21" s="2" t="inlineStr">
        <is>
          <t>Samsung</t>
        </is>
      </c>
      <c r="G21" s="2">
        <f>HYPERLINK("https://itrix.uz/product/68", "🔗 Купить продукт")</f>
        <v/>
      </c>
    </row>
    <row r="22" ht="30" customHeight="1">
      <c r="A22" s="5" t="inlineStr">
        <is>
          <t>Блоки питания</t>
        </is>
      </c>
      <c r="B22" s="5" t="inlineStr">
        <is>
          <t>Блок питания HPE G10 Plus 1600W Flex Slot Platinum Hot Plug Low Halogen Power Supply</t>
        </is>
      </c>
      <c r="C22" s="2" t="inlineStr"/>
      <c r="D22" s="2" t="n">
        <v>4906720</v>
      </c>
      <c r="E22" s="2" t="n">
        <v>4381000</v>
      </c>
      <c r="F22" s="2" t="inlineStr">
        <is>
          <t>HPE</t>
        </is>
      </c>
      <c r="G22" s="2">
        <f>HYPERLINK("https://itrix.uz/product/109", "🔗 Купить продукт")</f>
        <v/>
      </c>
    </row>
    <row r="23" ht="30" customHeight="1">
      <c r="A23" s="5" t="inlineStr">
        <is>
          <t>Аксессуары</t>
        </is>
      </c>
      <c r="B23" s="5" t="inlineStr">
        <is>
          <t>Оптоволоконный кабель HPE 5m OM4 Fiber Channel Optic Cable Enterprise</t>
        </is>
      </c>
      <c r="C23" s="2" t="inlineStr"/>
      <c r="D23" s="2" t="n">
        <v>2096640</v>
      </c>
      <c r="E23" s="2" t="n">
        <v>1872000</v>
      </c>
      <c r="F23" s="2" t="inlineStr">
        <is>
          <t>HPE</t>
        </is>
      </c>
      <c r="G23" s="2">
        <f>HYPERLINK("https://itrix.uz/product/107", "🔗 Купить продукт")</f>
        <v/>
      </c>
    </row>
    <row r="24" ht="30" customHeight="1">
      <c r="A24" s="5" t="inlineStr">
        <is>
          <t>Аксессуары</t>
        </is>
      </c>
      <c r="B24" s="5" t="inlineStr">
        <is>
          <t>HPE DL380 Gen10 Plus 8SFF NVMe Cage (1PORT)</t>
        </is>
      </c>
      <c r="C24" s="2" t="inlineStr"/>
      <c r="D24" s="2" t="n">
        <v>728000</v>
      </c>
      <c r="E24" s="2" t="n">
        <v>650000</v>
      </c>
      <c r="F24" s="2" t="inlineStr">
        <is>
          <t>HPE</t>
        </is>
      </c>
      <c r="G24" s="2">
        <f>HYPERLINK("https://itrix.uz/product/105", "🔗 Купить продукт")</f>
        <v/>
      </c>
    </row>
    <row r="25" ht="30" customHeight="1">
      <c r="A25" s="5" t="inlineStr">
        <is>
          <t>Аксессуары</t>
        </is>
      </c>
      <c r="B25" s="5" t="inlineStr">
        <is>
          <t>Сетевая интерфейсная карта DELL 57414 2port 25GB SFP28 OCP3</t>
        </is>
      </c>
      <c r="C25" s="2" t="inlineStr"/>
      <c r="D25" s="2" t="n">
        <v>4906720</v>
      </c>
      <c r="E25" s="2" t="n">
        <v>4381000</v>
      </c>
      <c r="F25" s="2" t="inlineStr">
        <is>
          <t>Dell</t>
        </is>
      </c>
      <c r="G25" s="2">
        <f>HYPERLINK("https://itrix.uz/product/102", "🔗 Купить продукт")</f>
        <v/>
      </c>
    </row>
    <row r="26" ht="30" customHeight="1">
      <c r="A26" s="5" t="inlineStr">
        <is>
          <t>Аксессуары</t>
        </is>
      </c>
      <c r="B26" s="5" t="inlineStr">
        <is>
          <t>Радиатор ЦП HPE DL360 G10+ High Performance Heatsink</t>
        </is>
      </c>
      <c r="C26" s="2" t="inlineStr"/>
      <c r="D26" s="2" t="n">
        <v>1397760</v>
      </c>
      <c r="E26" s="2" t="n">
        <v>1248000</v>
      </c>
      <c r="F26" s="2" t="inlineStr">
        <is>
          <t>HPE</t>
        </is>
      </c>
      <c r="G26" s="2">
        <f>HYPERLINK("https://itrix.uz/product/111", "🔗 Купить продукт")</f>
        <v/>
      </c>
    </row>
    <row r="27" ht="30" customHeight="1">
      <c r="A27" s="5" t="inlineStr">
        <is>
          <t>Аксессуары</t>
        </is>
      </c>
      <c r="B27" s="5" t="inlineStr">
        <is>
          <t>Вентилятор охлаждения HPE DL360 p/e G8 Fan</t>
        </is>
      </c>
      <c r="C27" s="2" t="inlineStr"/>
      <c r="D27" s="2" t="n">
        <v>422240</v>
      </c>
      <c r="E27" s="2" t="n">
        <v>377000</v>
      </c>
      <c r="F27" s="2" t="inlineStr">
        <is>
          <t>HPE</t>
        </is>
      </c>
      <c r="G27" s="2">
        <f>HYPERLINK("https://itrix.uz/product/114", "🔗 Купить продукт")</f>
        <v/>
      </c>
    </row>
    <row r="28" ht="30" customHeight="1">
      <c r="A28" s="5" t="inlineStr">
        <is>
          <t>Оперативная память (RAM)</t>
        </is>
      </c>
      <c r="B28" s="5" t="inlineStr">
        <is>
          <t>Оперативная память Samsung 32GB DDR4-2133MHz  2133P-RA0-10-DC0</t>
        </is>
      </c>
      <c r="C28" s="2" t="inlineStr"/>
      <c r="D28" s="2" t="n">
        <v>1397760</v>
      </c>
      <c r="E28" s="2" t="n">
        <v>1248000</v>
      </c>
      <c r="F28" s="2" t="inlineStr">
        <is>
          <t>Samsung</t>
        </is>
      </c>
      <c r="G28" s="2">
        <f>HYPERLINK("https://itrix.uz/product/79", "🔗 Купить продукт")</f>
        <v/>
      </c>
    </row>
    <row r="29" ht="30" customHeight="1">
      <c r="A29" s="5" t="inlineStr">
        <is>
          <t>Аксессуары</t>
        </is>
      </c>
      <c r="B29" s="5" t="inlineStr">
        <is>
          <t>DELL 2SFF NVMe Riser R750 Cable</t>
        </is>
      </c>
      <c r="C29" s="2" t="inlineStr"/>
      <c r="D29" s="2" t="n">
        <v>3494400</v>
      </c>
      <c r="E29" s="2" t="n">
        <v>3120000</v>
      </c>
      <c r="F29" s="2" t="inlineStr">
        <is>
          <t>Dell</t>
        </is>
      </c>
      <c r="G29" s="2">
        <f>HYPERLINK("https://itrix.uz/product/117", "🔗 Купить продукт")</f>
        <v/>
      </c>
    </row>
    <row r="30" ht="30" customHeight="1">
      <c r="A30" s="5" t="inlineStr">
        <is>
          <t>Аксессуары</t>
        </is>
      </c>
      <c r="B30" s="5" t="inlineStr">
        <is>
          <t>Переходная плата HPE DL38X Gen10 Plus x8/x16/x8 Secondary Riser Kit</t>
        </is>
      </c>
      <c r="C30" s="2" t="inlineStr"/>
      <c r="D30" s="2" t="n">
        <v>3508960</v>
      </c>
      <c r="E30" s="2" t="n">
        <v>3133000</v>
      </c>
      <c r="F30" s="2" t="inlineStr">
        <is>
          <t>HPE</t>
        </is>
      </c>
      <c r="G30" s="2">
        <f>HYPERLINK("https://itrix.uz/product/116", "🔗 Купить продукт")</f>
        <v/>
      </c>
    </row>
    <row r="31" ht="30" customHeight="1">
      <c r="A31" s="5" t="inlineStr">
        <is>
          <t>Аксессуары</t>
        </is>
      </c>
      <c r="B31" s="5" t="inlineStr">
        <is>
          <t>Сетевая карта Intel X710-DA2 SFP+</t>
        </is>
      </c>
      <c r="C31" s="2" t="inlineStr"/>
      <c r="D31" s="2" t="n">
        <v>5605600</v>
      </c>
      <c r="E31" s="2" t="n">
        <v>5005000</v>
      </c>
      <c r="F31" s="2" t="inlineStr">
        <is>
          <t>Intel</t>
        </is>
      </c>
      <c r="G31" s="2">
        <f>HYPERLINK("https://itrix.uz/product/122", "🔗 Купить продукт")</f>
        <v/>
      </c>
    </row>
    <row r="32" ht="30" customHeight="1">
      <c r="A32" s="5" t="inlineStr">
        <is>
          <t>Оперативная память (RAM)</t>
        </is>
      </c>
      <c r="B32" s="5" t="inlineStr">
        <is>
          <t>Оперативная память Samsung 64GB DDR4-3200MHz 3200AA</t>
        </is>
      </c>
      <c r="C32" s="2" t="inlineStr"/>
      <c r="D32" s="2" t="n">
        <v>3508960</v>
      </c>
      <c r="E32" s="2" t="n">
        <v>3133000</v>
      </c>
      <c r="F32" s="2" t="inlineStr">
        <is>
          <t>Samsung</t>
        </is>
      </c>
      <c r="G32" s="2">
        <f>HYPERLINK("https://itrix.uz/product/82", "🔗 Купить продукт")</f>
        <v/>
      </c>
    </row>
    <row r="33" ht="30" customHeight="1">
      <c r="A33" s="5" t="inlineStr">
        <is>
          <t>Аксессуары</t>
        </is>
      </c>
      <c r="B33" s="5" t="inlineStr">
        <is>
          <t xml:space="preserve">Сетевой адаптер HPE Broadcom BCM57416 Ethernet 10Gb 2-port BASE-T </t>
        </is>
      </c>
      <c r="C33" s="2" t="inlineStr"/>
      <c r="D33" s="2" t="n">
        <v>5227040</v>
      </c>
      <c r="E33" s="2" t="n">
        <v>4667000</v>
      </c>
      <c r="F33" s="2" t="inlineStr">
        <is>
          <t>HPE</t>
        </is>
      </c>
      <c r="G33" s="2">
        <f>HYPERLINK("https://itrix.uz/product/134", "🔗 Купить продукт")</f>
        <v/>
      </c>
    </row>
    <row r="34" ht="30" customHeight="1">
      <c r="A34" s="5" t="inlineStr">
        <is>
          <t>Аксессуары</t>
        </is>
      </c>
      <c r="B34" s="5" t="inlineStr">
        <is>
          <t>HBA-адаптер HPE 32Gb FC 2-port HBA (SN1610Q)</t>
        </is>
      </c>
      <c r="C34" s="2" t="inlineStr"/>
      <c r="D34" s="2" t="n">
        <v>6260800</v>
      </c>
      <c r="E34" s="2" t="n">
        <v>5590000</v>
      </c>
      <c r="F34" s="2" t="inlineStr">
        <is>
          <t>HPE</t>
        </is>
      </c>
      <c r="G34" s="2">
        <f>HYPERLINK("https://itrix.uz/product/130", "🔗 Купить продукт")</f>
        <v/>
      </c>
    </row>
    <row r="35" ht="30" customHeight="1">
      <c r="A35" s="5" t="inlineStr">
        <is>
          <t>Аксессуары</t>
        </is>
      </c>
      <c r="B35" s="5" t="inlineStr">
        <is>
          <t>Сетевой адаптер HPE Broadcom BCM5719 Ethernet 1Gb 4-port BASE-T PCIe</t>
        </is>
      </c>
      <c r="C35" s="2" t="inlineStr"/>
      <c r="D35" s="2" t="n">
        <v>2795520</v>
      </c>
      <c r="E35" s="2" t="n">
        <v>2496000</v>
      </c>
      <c r="F35" s="2" t="inlineStr">
        <is>
          <t>HPE</t>
        </is>
      </c>
      <c r="G35" s="2">
        <f>HYPERLINK("https://itrix.uz/product/131", "🔗 Купить продукт")</f>
        <v/>
      </c>
    </row>
    <row r="36" ht="30" customHeight="1">
      <c r="A36" s="5" t="inlineStr">
        <is>
          <t>Аксессуары</t>
        </is>
      </c>
      <c r="B36" s="5" t="inlineStr">
        <is>
          <t xml:space="preserve">Сетевой адаптер HPE Broadcom BCM57412 Ethernet 10Gb 2-port SFP+  </t>
        </is>
      </c>
      <c r="C36" s="2" t="inlineStr"/>
      <c r="D36" s="2" t="n">
        <v>4207840</v>
      </c>
      <c r="E36" s="2" t="n">
        <v>3757000</v>
      </c>
      <c r="F36" s="2" t="inlineStr">
        <is>
          <t>HPE</t>
        </is>
      </c>
      <c r="G36" s="2">
        <f>HYPERLINK("https://itrix.uz/product/132", "🔗 Купить продукт")</f>
        <v/>
      </c>
    </row>
    <row r="37" ht="30" customHeight="1">
      <c r="A37" s="5" t="inlineStr">
        <is>
          <t>Аксессуары</t>
        </is>
      </c>
      <c r="B37" s="5" t="inlineStr">
        <is>
          <t>Сетевой адаптер HPE Intel l350-T4 ethernet 1GB 4-port BASE-T</t>
        </is>
      </c>
      <c r="C37" s="2" t="inlineStr"/>
      <c r="D37" s="2" t="n">
        <v>596960</v>
      </c>
      <c r="E37" s="2" t="n">
        <v>533000</v>
      </c>
      <c r="F37" s="2" t="inlineStr">
        <is>
          <t>HPE</t>
        </is>
      </c>
      <c r="G37" s="2">
        <f>HYPERLINK("https://itrix.uz/product/135", "🔗 Купить продукт")</f>
        <v/>
      </c>
    </row>
    <row r="38" ht="30" customHeight="1">
      <c r="A38" s="5" t="inlineStr">
        <is>
          <t>Аксессуары</t>
        </is>
      </c>
      <c r="B38" s="5" t="inlineStr">
        <is>
          <t>Контроллер удаленного доступа DELL iDRAC9 Enterprise</t>
        </is>
      </c>
      <c r="C38" s="2" t="inlineStr"/>
      <c r="D38" s="2" t="n">
        <v>305760</v>
      </c>
      <c r="E38" s="2" t="n">
        <v>273000</v>
      </c>
      <c r="F38" s="2" t="inlineStr"/>
      <c r="G38" s="2">
        <f>HYPERLINK("https://itrix.uz/product/137", "🔗 Купить продукт")</f>
        <v/>
      </c>
    </row>
    <row r="39" ht="30" customHeight="1">
      <c r="A39" s="5" t="inlineStr">
        <is>
          <t>Аксессуары</t>
        </is>
      </c>
      <c r="B39" s="5" t="inlineStr">
        <is>
          <t>Дисковая корзина HPE ML110/ML350 Gen10 4LFF Drive Backplane Cage Kit</t>
        </is>
      </c>
      <c r="C39" s="2" t="inlineStr"/>
      <c r="D39" s="2" t="n">
        <v>728000</v>
      </c>
      <c r="E39" s="2" t="n">
        <v>650000</v>
      </c>
      <c r="F39" s="2" t="inlineStr">
        <is>
          <t>HPE</t>
        </is>
      </c>
      <c r="G39" s="2">
        <f>HYPERLINK("https://itrix.uz/product/104", "🔗 Купить продукт")</f>
        <v/>
      </c>
    </row>
    <row r="40" ht="30" customHeight="1">
      <c r="A40" s="5" t="inlineStr">
        <is>
          <t>Аксессуары</t>
        </is>
      </c>
      <c r="B40" s="5" t="inlineStr">
        <is>
          <t>HBA Адаптер 16Gb FC Single Channel HBA PCI-E 3.0 P9D93A SFP+ (SN1100Q)</t>
        </is>
      </c>
      <c r="C40" s="2" t="inlineStr"/>
      <c r="D40" s="2" t="n">
        <v>8008000</v>
      </c>
      <c r="E40" s="2" t="n">
        <v>7150000</v>
      </c>
      <c r="F40" s="2" t="inlineStr">
        <is>
          <t>HPE</t>
        </is>
      </c>
      <c r="G40" s="2">
        <f>HYPERLINK("https://itrix.uz/product/129", "🔗 Купить продукт")</f>
        <v/>
      </c>
    </row>
    <row r="41" ht="30" customHeight="1">
      <c r="A41" s="5" t="inlineStr">
        <is>
          <t>Оперативная память (RAM)</t>
        </is>
      </c>
      <c r="B41" s="5" t="inlineStr">
        <is>
          <t>Оперативная память Samsung 32GB DDR4-2933MHz  2933Y-RB2-12-MH1</t>
        </is>
      </c>
      <c r="C41" s="2" t="inlineStr"/>
      <c r="D41" s="2" t="n">
        <v>1820000</v>
      </c>
      <c r="E41" s="2" t="n">
        <v>1625000</v>
      </c>
      <c r="F41" s="2" t="inlineStr">
        <is>
          <t>Samsung</t>
        </is>
      </c>
      <c r="G41" s="2">
        <f>HYPERLINK("https://itrix.uz/product/80", "🔗 Купить продукт")</f>
        <v/>
      </c>
    </row>
    <row r="42" ht="30" customHeight="1">
      <c r="A42" s="5" t="inlineStr">
        <is>
          <t>RAID-контроллер</t>
        </is>
      </c>
      <c r="B42" s="5" t="inlineStr">
        <is>
          <t>RAID Контроллер HPE P816i-a SR (Int.) 4gb Cache 12G SAS PCIe (incl.96W Batt)</t>
        </is>
      </c>
      <c r="C42" s="2" t="inlineStr"/>
      <c r="D42" s="2" t="n">
        <v>7003360</v>
      </c>
      <c r="E42" s="2" t="n">
        <v>6253000</v>
      </c>
      <c r="F42" s="2" t="inlineStr">
        <is>
          <t>HPE</t>
        </is>
      </c>
      <c r="G42" s="2">
        <f>HYPERLINK("https://itrix.uz/product/148", "🔗 Купить продукт")</f>
        <v/>
      </c>
    </row>
    <row r="43" ht="30" customHeight="1">
      <c r="A43" s="5" t="inlineStr">
        <is>
          <t>RAID-контроллер</t>
        </is>
      </c>
      <c r="B43" s="5" t="inlineStr">
        <is>
          <t xml:space="preserve">RAID Контроллер DELL PERC H755 8Gb RAID </t>
        </is>
      </c>
      <c r="C43" s="2" t="inlineStr"/>
      <c r="D43" s="2" t="n">
        <v>8401120</v>
      </c>
      <c r="E43" s="2" t="n">
        <v>7501000</v>
      </c>
      <c r="F43" s="2" t="inlineStr">
        <is>
          <t>Dell</t>
        </is>
      </c>
      <c r="G43" s="2">
        <f>HYPERLINK("https://itrix.uz/product/150", "🔗 Купить продукт")</f>
        <v/>
      </c>
    </row>
    <row r="44" ht="30" customHeight="1">
      <c r="A44" s="5" t="inlineStr">
        <is>
          <t>Блоки питания</t>
        </is>
      </c>
      <c r="B44" s="5" t="inlineStr">
        <is>
          <t>Блок питания HPE 1000W Flex Slot Titanium Hot Plug</t>
        </is>
      </c>
      <c r="C44" s="2" t="inlineStr"/>
      <c r="D44" s="2" t="n">
        <v>3130400</v>
      </c>
      <c r="E44" s="2" t="n">
        <v>2795000</v>
      </c>
      <c r="F44" s="2" t="inlineStr">
        <is>
          <t>HPE</t>
        </is>
      </c>
      <c r="G44" s="2">
        <f>HYPERLINK("https://itrix.uz/product/155", "🔗 Купить продукт")</f>
        <v/>
      </c>
    </row>
    <row r="45" ht="30" customHeight="1">
      <c r="A45" s="5" t="inlineStr">
        <is>
          <t>Блоки питания</t>
        </is>
      </c>
      <c r="B45" s="5" t="inlineStr">
        <is>
          <t>Блок питания DELL 800W G15 Hot-Plug Power Supply</t>
        </is>
      </c>
      <c r="C45" s="2" t="inlineStr"/>
      <c r="D45" s="2" t="n">
        <v>1790880</v>
      </c>
      <c r="E45" s="2" t="n">
        <v>1599000</v>
      </c>
      <c r="F45" s="2" t="inlineStr">
        <is>
          <t>Dell</t>
        </is>
      </c>
      <c r="G45" s="2">
        <f>HYPERLINK("https://itrix.uz/product/157", "🔗 Купить продукт")</f>
        <v/>
      </c>
    </row>
    <row r="46" ht="30" customHeight="1">
      <c r="A46" s="5" t="inlineStr">
        <is>
          <t>Аксессуары</t>
        </is>
      </c>
      <c r="B46" s="5" t="inlineStr">
        <is>
          <t>Модуль вентиляторов HPE DL380 G10 High Performance Fan</t>
        </is>
      </c>
      <c r="C46" s="2" t="inlineStr"/>
      <c r="D46" s="2" t="n">
        <v>698880</v>
      </c>
      <c r="E46" s="2" t="n">
        <v>624000</v>
      </c>
      <c r="F46" s="2" t="inlineStr">
        <is>
          <t>HPE</t>
        </is>
      </c>
      <c r="G46" s="2">
        <f>HYPERLINK("https://itrix.uz/product/108", "🔗 Купить продукт")</f>
        <v/>
      </c>
    </row>
    <row r="47" ht="30" customHeight="1">
      <c r="A47" s="5" t="inlineStr">
        <is>
          <t>NVME</t>
        </is>
      </c>
      <c r="B47" s="5" t="inlineStr">
        <is>
          <t>3.2TB PCI-e NVMe / Mix Use / Express Flash / PCI-e 4.0</t>
        </is>
      </c>
      <c r="C47" s="2" t="inlineStr"/>
      <c r="D47" s="2" t="n">
        <v>12987520</v>
      </c>
      <c r="E47" s="2" t="n">
        <v>11596000</v>
      </c>
      <c r="F47" s="2" t="inlineStr">
        <is>
          <t>Dell</t>
        </is>
      </c>
      <c r="G47" s="2">
        <f>HYPERLINK("https://itrix.uz/product/97", "🔗 Купить продукт")</f>
        <v/>
      </c>
    </row>
    <row r="48" ht="30" customHeight="1">
      <c r="A48" s="5" t="inlineStr">
        <is>
          <t>Процессоры</t>
        </is>
      </c>
      <c r="B48" s="5" t="inlineStr">
        <is>
          <t>Intel Xeon Gold 6338 (2GHz/32-core/205W)</t>
        </is>
      </c>
      <c r="C48" s="2" t="inlineStr"/>
      <c r="D48" s="2" t="n">
        <v>31624320</v>
      </c>
      <c r="E48" s="2" t="n">
        <v>28236000</v>
      </c>
      <c r="F48" s="2" t="inlineStr">
        <is>
          <t>Intel</t>
        </is>
      </c>
      <c r="G48" s="2">
        <f>HYPERLINK("https://itrix.uz/product/358", "🔗 Купить продукт")</f>
        <v/>
      </c>
    </row>
    <row r="49" ht="30" customHeight="1">
      <c r="A49" s="5" t="inlineStr">
        <is>
          <t>RAID-контроллер</t>
        </is>
      </c>
      <c r="B49" s="5" t="inlineStr">
        <is>
          <t>RAID Контроллер HPE P408e-p SR (Ext.) 4gb Cache 12G SAS PCIe (incl.96W Batt)</t>
        </is>
      </c>
      <c r="C49" s="2" t="inlineStr"/>
      <c r="D49" s="2" t="n">
        <v>7003360</v>
      </c>
      <c r="E49" s="2" t="n">
        <v>6253000</v>
      </c>
      <c r="F49" s="2" t="inlineStr">
        <is>
          <t>HPE</t>
        </is>
      </c>
      <c r="G49" s="2">
        <f>HYPERLINK("https://itrix.uz/product/146", "🔗 Купить продукт")</f>
        <v/>
      </c>
    </row>
    <row r="50" ht="30" customHeight="1">
      <c r="A50" s="5" t="inlineStr">
        <is>
          <t>Аксессуары</t>
        </is>
      </c>
      <c r="B50" s="5" t="inlineStr">
        <is>
          <t>Дисковая корзина HPE DL380 Gen10 SFF Box1/2 Cage/Backplane Kit</t>
        </is>
      </c>
      <c r="C50" s="2" t="inlineStr"/>
      <c r="D50" s="2" t="n">
        <v>4207840</v>
      </c>
      <c r="E50" s="2" t="n">
        <v>3757000</v>
      </c>
      <c r="F50" s="2" t="inlineStr">
        <is>
          <t>HPE</t>
        </is>
      </c>
      <c r="G50" s="2">
        <f>HYPERLINK("https://itrix.uz/product/110", "🔗 Купить продукт")</f>
        <v/>
      </c>
    </row>
    <row r="51" ht="30" customHeight="1">
      <c r="A51" s="5" t="inlineStr">
        <is>
          <t>Блоки питания</t>
        </is>
      </c>
      <c r="B51" s="5" t="inlineStr">
        <is>
          <t>Блок питания HPE 500W Flex Slot Platinum Hot Plug</t>
        </is>
      </c>
      <c r="C51" s="2" t="inlineStr"/>
      <c r="D51" s="2" t="n">
        <v>2082080</v>
      </c>
      <c r="E51" s="2" t="n">
        <v>1859000</v>
      </c>
      <c r="F51" s="2" t="inlineStr">
        <is>
          <t>HPE</t>
        </is>
      </c>
      <c r="G51" s="2">
        <f>HYPERLINK("https://itrix.uz/product/154", "🔗 Купить продукт")</f>
        <v/>
      </c>
    </row>
    <row r="52" ht="30" customHeight="1">
      <c r="A52" s="5" t="inlineStr">
        <is>
          <t>Аксессуары</t>
        </is>
      </c>
      <c r="B52" s="5" t="inlineStr">
        <is>
          <t>Модуль безопасности DELL TPM 2.0 Module</t>
        </is>
      </c>
      <c r="C52" s="2" t="inlineStr"/>
      <c r="D52" s="2" t="n">
        <v>2795520</v>
      </c>
      <c r="E52" s="2" t="n">
        <v>2496000</v>
      </c>
      <c r="F52" s="2" t="inlineStr">
        <is>
          <t>Dell</t>
        </is>
      </c>
      <c r="G52" s="2">
        <f>HYPERLINK("https://itrix.uz/product/112", "🔗 Купить продукт")</f>
        <v/>
      </c>
    </row>
    <row r="53" ht="30" customHeight="1">
      <c r="A53" s="5" t="inlineStr">
        <is>
          <t>Жёсткие диски SSD</t>
        </is>
      </c>
      <c r="B53" s="5" t="inlineStr">
        <is>
          <t>SSD Накопитель DELL 480GB / SATA / RI / SSD</t>
        </is>
      </c>
      <c r="C53" s="2" t="inlineStr"/>
      <c r="D53" s="2" t="n">
        <v>3494400</v>
      </c>
      <c r="E53" s="2" t="n">
        <v>3120000</v>
      </c>
      <c r="F53" s="2" t="inlineStr">
        <is>
          <t>Dell</t>
        </is>
      </c>
      <c r="G53" s="2">
        <f>HYPERLINK("https://itrix.uz/product/53", "🔗 Купить продукт")</f>
        <v/>
      </c>
    </row>
    <row r="54" ht="30" customHeight="1">
      <c r="A54" s="5" t="inlineStr">
        <is>
          <t>Блоки питания</t>
        </is>
      </c>
      <c r="B54" s="5" t="inlineStr">
        <is>
          <t>Блок питания HPE 800W Flex Slot Platinum Hot Plug</t>
        </is>
      </c>
      <c r="C54" s="2" t="inlineStr"/>
      <c r="D54" s="2" t="n">
        <v>2810080</v>
      </c>
      <c r="E54" s="2" t="n">
        <v>2509000</v>
      </c>
      <c r="F54" s="2" t="inlineStr">
        <is>
          <t>HPE</t>
        </is>
      </c>
      <c r="G54" s="2">
        <f>HYPERLINK("https://itrix.uz/product/156", "🔗 Купить продукт")</f>
        <v/>
      </c>
    </row>
    <row r="55" ht="30" customHeight="1">
      <c r="A55" s="5" t="inlineStr">
        <is>
          <t>Аксессуары</t>
        </is>
      </c>
      <c r="B55" s="5" t="inlineStr">
        <is>
          <t>Радиатор ЦП HPE ML110/150/350 G9 Heatsink</t>
        </is>
      </c>
      <c r="C55" s="2" t="inlineStr"/>
      <c r="D55" s="2" t="n">
        <v>567840</v>
      </c>
      <c r="E55" s="2" t="n">
        <v>507000</v>
      </c>
      <c r="F55" s="2" t="inlineStr">
        <is>
          <t>HPE</t>
        </is>
      </c>
      <c r="G55" s="2">
        <f>HYPERLINK("https://itrix.uz/product/118", "🔗 Купить продукт")</f>
        <v/>
      </c>
    </row>
    <row r="56" ht="30" customHeight="1">
      <c r="A56" s="5" t="inlineStr">
        <is>
          <t>Аксессуары</t>
        </is>
      </c>
      <c r="B56" s="5" t="inlineStr">
        <is>
          <t>Салазки DELL 3.5" Caddy G15</t>
        </is>
      </c>
      <c r="C56" s="2" t="inlineStr"/>
      <c r="D56" s="2" t="n">
        <v>291200</v>
      </c>
      <c r="E56" s="2" t="n">
        <v>260000</v>
      </c>
      <c r="F56" s="2" t="inlineStr">
        <is>
          <t>Dell</t>
        </is>
      </c>
      <c r="G56" s="2">
        <f>HYPERLINK("https://itrix.uz/product/119", "🔗 Купить продукт")</f>
        <v/>
      </c>
    </row>
    <row r="57" ht="30" customHeight="1">
      <c r="A57" s="5" t="inlineStr">
        <is>
          <t>Жёсткие диски HDD</t>
        </is>
      </c>
      <c r="B57" s="5" t="inlineStr">
        <is>
          <t>Жесткий диск HPE 2.4TB / SAS / 10000 rpm / SFF / 2.5" HDD</t>
        </is>
      </c>
      <c r="C57" s="2" t="inlineStr"/>
      <c r="D57" s="2" t="n">
        <v>4207840</v>
      </c>
      <c r="E57" s="2" t="n">
        <v>3757000</v>
      </c>
      <c r="F57" s="2" t="inlineStr">
        <is>
          <t>HPE</t>
        </is>
      </c>
      <c r="G57" s="2">
        <f>HYPERLINK("https://itrix.uz/product/42", "🔗 Купить продукт")</f>
        <v/>
      </c>
    </row>
    <row r="58" ht="30" customHeight="1">
      <c r="A58" s="5" t="inlineStr">
        <is>
          <t>Процессоры</t>
        </is>
      </c>
      <c r="B58" s="5" t="inlineStr">
        <is>
          <t>Intel Xeon-Gold 5220R (2.2GHz/24-core/150W)</t>
        </is>
      </c>
      <c r="C58" s="2" t="inlineStr"/>
      <c r="D58" s="2" t="n">
        <v>19393920</v>
      </c>
      <c r="E58" s="2" t="n">
        <v>17316000</v>
      </c>
      <c r="F58" s="2" t="inlineStr">
        <is>
          <t>Intel</t>
        </is>
      </c>
      <c r="G58" s="2">
        <f>HYPERLINK("https://itrix.uz/product/346", "🔗 Купить продукт")</f>
        <v/>
      </c>
    </row>
    <row r="59" ht="30" customHeight="1">
      <c r="A59" s="5" t="inlineStr">
        <is>
          <t>Жёсткие диски SSD</t>
        </is>
      </c>
      <c r="B59" s="5" t="inlineStr">
        <is>
          <t>SSD Накопитель DELL 1.92TB / SAS / MU / SSD</t>
        </is>
      </c>
      <c r="C59" s="2" t="inlineStr"/>
      <c r="D59" s="2" t="n">
        <v>18214560</v>
      </c>
      <c r="E59" s="2" t="n">
        <v>16263000</v>
      </c>
      <c r="F59" s="2" t="inlineStr">
        <is>
          <t>Dell</t>
        </is>
      </c>
      <c r="G59" s="2">
        <f>HYPERLINK("https://itrix.uz/product/66", "🔗 Купить продукт")</f>
        <v/>
      </c>
    </row>
    <row r="60" ht="30" customHeight="1">
      <c r="A60" s="5" t="inlineStr">
        <is>
          <t>Процессоры</t>
        </is>
      </c>
      <c r="B60" s="5" t="inlineStr">
        <is>
          <t>Intel Xeon-Gold 6250 (3.9GHz/8-core/185W)</t>
        </is>
      </c>
      <c r="C60" s="2" t="inlineStr"/>
      <c r="D60" s="2" t="n">
        <v>46242560</v>
      </c>
      <c r="E60" s="2" t="n">
        <v>41288000</v>
      </c>
      <c r="F60" s="2" t="inlineStr">
        <is>
          <t>Intel</t>
        </is>
      </c>
      <c r="G60" s="2">
        <f>HYPERLINK("https://itrix.uz/product/354", "🔗 Купить продукт")</f>
        <v/>
      </c>
    </row>
    <row r="61" ht="30" customHeight="1">
      <c r="A61" s="5" t="inlineStr">
        <is>
          <t>Жёсткие диски SSD</t>
        </is>
      </c>
      <c r="B61" s="5" t="inlineStr">
        <is>
          <t>SSD Накопитель DELL 960GB / SAS / RI / SSD</t>
        </is>
      </c>
      <c r="C61" s="2" t="inlineStr"/>
      <c r="D61" s="2" t="n">
        <v>7003360</v>
      </c>
      <c r="E61" s="2" t="n">
        <v>6253000</v>
      </c>
      <c r="F61" s="2" t="inlineStr">
        <is>
          <t>Dell</t>
        </is>
      </c>
      <c r="G61" s="2">
        <f>HYPERLINK("https://itrix.uz/product/72", "🔗 Купить продукт")</f>
        <v/>
      </c>
    </row>
    <row r="62" ht="30" customHeight="1">
      <c r="A62" s="5" t="inlineStr">
        <is>
          <t>Жёсткие диски HDD</t>
        </is>
      </c>
      <c r="B62" s="5" t="inlineStr">
        <is>
          <t>Жёсткий диск HPE 1.2TB / SAS / 10000 rpm / SFF / 2.5" HDD</t>
        </is>
      </c>
      <c r="C62" s="2" t="inlineStr"/>
      <c r="D62" s="2" t="n">
        <v>3508960</v>
      </c>
      <c r="E62" s="2" t="n">
        <v>3133000</v>
      </c>
      <c r="F62" s="2" t="inlineStr">
        <is>
          <t>HPE</t>
        </is>
      </c>
      <c r="G62" s="2">
        <f>HYPERLINK("https://itrix.uz/product/52", "🔗 Купить продукт")</f>
        <v/>
      </c>
    </row>
    <row r="63" ht="30" customHeight="1">
      <c r="A63" s="5" t="inlineStr">
        <is>
          <t>Аксессуары</t>
        </is>
      </c>
      <c r="B63" s="5" t="inlineStr">
        <is>
          <t>Сетевой адаптер HPE 331T 4x-1Gb 4-port PCIe</t>
        </is>
      </c>
      <c r="C63" s="2" t="inlineStr"/>
      <c r="D63" s="2" t="n">
        <v>2810080</v>
      </c>
      <c r="E63" s="2" t="n">
        <v>2509000</v>
      </c>
      <c r="F63" s="2" t="inlineStr">
        <is>
          <t>HPE</t>
        </is>
      </c>
      <c r="G63" s="2">
        <f>HYPERLINK("https://itrix.uz/product/121", "🔗 Купить продукт")</f>
        <v/>
      </c>
    </row>
    <row r="64" ht="30" customHeight="1">
      <c r="A64" s="5" t="inlineStr">
        <is>
          <t>NVME</t>
        </is>
      </c>
      <c r="B64" s="5" t="inlineStr">
        <is>
          <t>6.4TB PCI-e NVMe / Mix Use / Express Flash / PCI-e 4.0</t>
        </is>
      </c>
      <c r="C64" s="2" t="inlineStr"/>
      <c r="D64" s="2" t="n">
        <v>15520960</v>
      </c>
      <c r="E64" s="2" t="n">
        <v>13858000</v>
      </c>
      <c r="F64" s="2" t="inlineStr">
        <is>
          <t>Dell</t>
        </is>
      </c>
      <c r="G64" s="2">
        <f>HYPERLINK("https://itrix.uz/product/98", "🔗 Купить продукт")</f>
        <v/>
      </c>
    </row>
    <row r="65" ht="30" customHeight="1">
      <c r="A65" s="5" t="inlineStr">
        <is>
          <t>Жёсткие диски HDD</t>
        </is>
      </c>
      <c r="B65" s="5" t="inlineStr">
        <is>
          <t>Жёсткий диск WD Red Plus 4TB / SATA III / 5400 rpm / 3.5" HDD</t>
        </is>
      </c>
      <c r="C65" s="2" t="inlineStr"/>
      <c r="D65" s="2" t="n">
        <v>1820000</v>
      </c>
      <c r="E65" s="2" t="n">
        <v>1625000</v>
      </c>
      <c r="F65" s="2" t="inlineStr">
        <is>
          <t>Western Digital</t>
        </is>
      </c>
      <c r="G65" s="2">
        <f>HYPERLINK("https://itrix.uz/product/39", "🔗 Купить продукт")</f>
        <v/>
      </c>
    </row>
    <row r="66" ht="30" customHeight="1">
      <c r="A66" s="5" t="inlineStr">
        <is>
          <t>Процессоры</t>
        </is>
      </c>
      <c r="B66" s="5" t="inlineStr">
        <is>
          <t>Intel Xeon Gold 6348 (2.6GHz/28-core/235W)</t>
        </is>
      </c>
      <c r="C66" s="2" t="inlineStr"/>
      <c r="D66" s="2" t="n">
        <v>37302720</v>
      </c>
      <c r="E66" s="2" t="n">
        <v>33306000</v>
      </c>
      <c r="F66" s="2" t="inlineStr">
        <is>
          <t>Intel</t>
        </is>
      </c>
      <c r="G66" s="2">
        <f>HYPERLINK("https://itrix.uz/product/361", "🔗 Купить продукт")</f>
        <v/>
      </c>
    </row>
    <row r="67" ht="30" customHeight="1">
      <c r="A67" s="5" t="inlineStr">
        <is>
          <t>Жёсткие диски HDD</t>
        </is>
      </c>
      <c r="B67" s="5" t="inlineStr">
        <is>
          <t>Жёсткий диск DELL 16TB / SAS / 7200 rpm / LFF / 3.5" HDD</t>
        </is>
      </c>
      <c r="C67" s="2" t="inlineStr"/>
      <c r="D67" s="2" t="n">
        <v>6304480</v>
      </c>
      <c r="E67" s="2" t="n">
        <v>5629000</v>
      </c>
      <c r="F67" s="2" t="inlineStr">
        <is>
          <t>Dell</t>
        </is>
      </c>
      <c r="G67" s="2">
        <f>HYPERLINK("https://itrix.uz/product/41", "🔗 Купить продукт")</f>
        <v/>
      </c>
    </row>
    <row r="68" ht="30" customHeight="1">
      <c r="A68" s="5" t="inlineStr">
        <is>
          <t>Процессоры</t>
        </is>
      </c>
      <c r="B68" s="5" t="inlineStr">
        <is>
          <t>Intel Xeon Gold 6354 (3.0GHz/18-core/205W)</t>
        </is>
      </c>
      <c r="C68" s="2" t="inlineStr"/>
      <c r="D68" s="2" t="n">
        <v>39384800</v>
      </c>
      <c r="E68" s="2" t="n">
        <v>35165000</v>
      </c>
      <c r="F68" s="2" t="inlineStr">
        <is>
          <t>Intel</t>
        </is>
      </c>
      <c r="G68" s="2">
        <f>HYPERLINK("https://itrix.uz/product/362", "🔗 Купить продукт")</f>
        <v/>
      </c>
    </row>
    <row r="69" ht="30" customHeight="1">
      <c r="A69" s="5" t="inlineStr">
        <is>
          <t>Жёсткие диски HDD</t>
        </is>
      </c>
      <c r="B69" s="5" t="inlineStr">
        <is>
          <t>Жёсткий диск DELL 12TB / SAS / 7200 rpm / LFF / 3.5" HDD</t>
        </is>
      </c>
      <c r="C69" s="2" t="inlineStr"/>
      <c r="D69" s="2" t="n">
        <v>5955040</v>
      </c>
      <c r="E69" s="2" t="n">
        <v>5317000</v>
      </c>
      <c r="F69" s="2" t="inlineStr">
        <is>
          <t>Dell</t>
        </is>
      </c>
      <c r="G69" s="2">
        <f>HYPERLINK("https://itrix.uz/product/37", "🔗 Купить продукт")</f>
        <v/>
      </c>
    </row>
    <row r="70" ht="30" customHeight="1">
      <c r="A70" s="5" t="inlineStr">
        <is>
          <t>Жёсткие диски HDD</t>
        </is>
      </c>
      <c r="B70" s="5" t="inlineStr">
        <is>
          <t>Жесткий диск HPE 1TB / SATA / 7200 rpm / LFF / 3.5" HDD</t>
        </is>
      </c>
      <c r="C70" s="2" t="inlineStr"/>
      <c r="D70" s="2" t="n">
        <v>2693600</v>
      </c>
      <c r="E70" s="2" t="n">
        <v>2405000</v>
      </c>
      <c r="F70" s="2" t="inlineStr">
        <is>
          <t>HPE</t>
        </is>
      </c>
      <c r="G70" s="2">
        <f>HYPERLINK("https://itrix.uz/product/44", "🔗 Купить продукт")</f>
        <v/>
      </c>
    </row>
    <row r="71" ht="30" customHeight="1">
      <c r="A71" s="5" t="inlineStr">
        <is>
          <t>Жёсткие диски HDD</t>
        </is>
      </c>
      <c r="B71" s="5" t="inlineStr">
        <is>
          <t>Жесткий диск DELL 2TB / SAS / 7200 rpm / LFF / 3.5" HDD</t>
        </is>
      </c>
      <c r="C71" s="2" t="inlineStr"/>
      <c r="D71" s="2" t="n">
        <v>2810080</v>
      </c>
      <c r="E71" s="2" t="n">
        <v>2509000</v>
      </c>
      <c r="F71" s="2" t="inlineStr">
        <is>
          <t>Dell</t>
        </is>
      </c>
      <c r="G71" s="2">
        <f>HYPERLINK("https://itrix.uz/product/46", "🔗 Купить продукт")</f>
        <v/>
      </c>
    </row>
    <row r="72" ht="30" customHeight="1">
      <c r="A72" s="5" t="inlineStr">
        <is>
          <t>Жёсткие диски HDD</t>
        </is>
      </c>
      <c r="B72" s="5" t="inlineStr">
        <is>
          <t>Жесткий диск HPE 300GB / SAS / 10000 rpm / SFF / 2.5" HDD</t>
        </is>
      </c>
      <c r="C72" s="2" t="inlineStr"/>
      <c r="D72" s="2" t="n">
        <v>596960</v>
      </c>
      <c r="E72" s="2" t="n">
        <v>533000</v>
      </c>
      <c r="F72" s="2" t="inlineStr">
        <is>
          <t>HPE</t>
        </is>
      </c>
      <c r="G72" s="2">
        <f>HYPERLINK("https://itrix.uz/product/47", "🔗 Купить продукт")</f>
        <v/>
      </c>
    </row>
    <row r="73" ht="30" customHeight="1">
      <c r="A73" s="5" t="inlineStr">
        <is>
          <t>Жёсткие диски HDD</t>
        </is>
      </c>
      <c r="B73" s="5" t="inlineStr">
        <is>
          <t>Жесткий диск DELL 18TB / SAS / 7200 rpm / LFF / 3.5" HDD</t>
        </is>
      </c>
      <c r="C73" s="2" t="inlineStr"/>
      <c r="D73" s="2" t="n">
        <v>7003360</v>
      </c>
      <c r="E73" s="2" t="n">
        <v>6253000</v>
      </c>
      <c r="F73" s="2" t="inlineStr">
        <is>
          <t>Dell</t>
        </is>
      </c>
      <c r="G73" s="2">
        <f>HYPERLINK("https://itrix.uz/product/48", "🔗 Купить продукт")</f>
        <v/>
      </c>
    </row>
    <row r="74" ht="30" customHeight="1">
      <c r="A74" s="5" t="inlineStr">
        <is>
          <t>Жёсткие диски HDD</t>
        </is>
      </c>
      <c r="B74" s="5" t="inlineStr">
        <is>
          <t>Жесткий диск HPE 900GB / SAS / 15000rpm / SFF / 2.5" HDD</t>
        </is>
      </c>
      <c r="C74" s="2" t="inlineStr"/>
      <c r="D74" s="2" t="n">
        <v>5416320</v>
      </c>
      <c r="E74" s="2" t="n">
        <v>4836000</v>
      </c>
      <c r="F74" s="2" t="inlineStr">
        <is>
          <t>HPE</t>
        </is>
      </c>
      <c r="G74" s="2">
        <f>HYPERLINK("https://itrix.uz/product/50", "🔗 Купить продукт")</f>
        <v/>
      </c>
    </row>
    <row r="75" ht="30" customHeight="1">
      <c r="A75" s="5" t="inlineStr">
        <is>
          <t>Аксессуары</t>
        </is>
      </c>
      <c r="B75" s="5" t="inlineStr">
        <is>
          <t>Сетевая карта HPE 560SFP+ 10Gb 2-port PCIe</t>
        </is>
      </c>
      <c r="C75" s="2" t="inlineStr"/>
      <c r="D75" s="2" t="n">
        <v>4207840</v>
      </c>
      <c r="E75" s="2" t="n">
        <v>3757000</v>
      </c>
      <c r="F75" s="2" t="inlineStr">
        <is>
          <t>HPE</t>
        </is>
      </c>
      <c r="G75" s="2">
        <f>HYPERLINK("https://itrix.uz/product/123", "🔗 Купить продукт")</f>
        <v/>
      </c>
    </row>
    <row r="76" ht="30" customHeight="1">
      <c r="A76" s="5" t="inlineStr">
        <is>
          <t>Аксессуары</t>
        </is>
      </c>
      <c r="B76" s="5" t="inlineStr">
        <is>
          <t>HBA Адаптер HPE SN1200E 16G 2-port FC HBA</t>
        </is>
      </c>
      <c r="C76" s="2" t="inlineStr"/>
      <c r="D76" s="2" t="n">
        <v>11910080</v>
      </c>
      <c r="E76" s="2" t="n">
        <v>10634000</v>
      </c>
      <c r="F76" s="2" t="inlineStr">
        <is>
          <t>HPE</t>
        </is>
      </c>
      <c r="G76" s="2">
        <f>HYPERLINK("https://itrix.uz/product/124", "🔗 Купить продукт")</f>
        <v/>
      </c>
    </row>
    <row r="77" ht="30" customHeight="1">
      <c r="A77" s="5" t="inlineStr">
        <is>
          <t>Жёсткие диски SSD</t>
        </is>
      </c>
      <c r="B77" s="5" t="inlineStr">
        <is>
          <t>SSD Накопитель HPE 3.84TB / NVMe / RI / SAS / SSD</t>
        </is>
      </c>
      <c r="C77" s="2" t="inlineStr"/>
      <c r="D77" s="2" t="n">
        <v>21024640</v>
      </c>
      <c r="E77" s="2" t="n">
        <v>18772000</v>
      </c>
      <c r="F77" s="2" t="inlineStr">
        <is>
          <t>HPE</t>
        </is>
      </c>
      <c r="G77" s="2">
        <f>HYPERLINK("https://itrix.uz/product/51", "🔗 Купить продукт")</f>
        <v/>
      </c>
    </row>
    <row r="78" ht="30" customHeight="1">
      <c r="A78" s="5" t="inlineStr">
        <is>
          <t>Аксессуары</t>
        </is>
      </c>
      <c r="B78" s="5" t="inlineStr">
        <is>
          <t>Радиатор ЦП DELL R440/R540 CPU1 Heatsink</t>
        </is>
      </c>
      <c r="C78" s="2" t="inlineStr"/>
      <c r="D78" s="2" t="n">
        <v>698880</v>
      </c>
      <c r="E78" s="2" t="n">
        <v>624000</v>
      </c>
      <c r="F78" s="2" t="inlineStr">
        <is>
          <t>Dell</t>
        </is>
      </c>
      <c r="G78" s="2">
        <f>HYPERLINK("https://itrix.uz/product/126", "🔗 Купить продукт")</f>
        <v/>
      </c>
    </row>
    <row r="79" ht="30" customHeight="1">
      <c r="A79" s="5" t="inlineStr">
        <is>
          <t>Жёсткие диски SSD</t>
        </is>
      </c>
      <c r="B79" s="5" t="inlineStr">
        <is>
          <t>SSD Накопитель HPE 480GB / SATA / RI / SSD</t>
        </is>
      </c>
      <c r="C79" s="2" t="inlineStr"/>
      <c r="D79" s="2" t="n">
        <v>5605600</v>
      </c>
      <c r="E79" s="2" t="n">
        <v>5005000</v>
      </c>
      <c r="F79" s="2" t="inlineStr">
        <is>
          <t>HPE</t>
        </is>
      </c>
      <c r="G79" s="2">
        <f>HYPERLINK("https://itrix.uz/product/55", "🔗 Купить продукт")</f>
        <v/>
      </c>
    </row>
    <row r="80" ht="30" customHeight="1">
      <c r="A80" s="5" t="inlineStr">
        <is>
          <t>Процессоры</t>
        </is>
      </c>
      <c r="B80" s="5" t="inlineStr">
        <is>
          <t>Intel Xeon Gold 6346 (3.1GHz/16-core/205W)</t>
        </is>
      </c>
      <c r="C80" s="2" t="inlineStr"/>
      <c r="D80" s="2" t="n">
        <v>28348320</v>
      </c>
      <c r="E80" s="2" t="n">
        <v>25311000</v>
      </c>
      <c r="F80" s="2" t="inlineStr">
        <is>
          <t>Intel</t>
        </is>
      </c>
      <c r="G80" s="2">
        <f>HYPERLINK("https://itrix.uz/product/360", "🔗 Купить продукт")</f>
        <v/>
      </c>
    </row>
    <row r="81" ht="30" customHeight="1">
      <c r="A81" s="5" t="inlineStr">
        <is>
          <t>Жёсткие диски SSD</t>
        </is>
      </c>
      <c r="B81" s="5" t="inlineStr">
        <is>
          <t>SSD Накопитель HPE 240GB / SATA / RI / SSD</t>
        </is>
      </c>
      <c r="C81" s="2" t="inlineStr"/>
      <c r="D81" s="2" t="n">
        <v>3508960</v>
      </c>
      <c r="E81" s="2" t="n">
        <v>3133000</v>
      </c>
      <c r="F81" s="2" t="inlineStr">
        <is>
          <t>HPE</t>
        </is>
      </c>
      <c r="G81" s="2">
        <f>HYPERLINK("https://itrix.uz/product/57", "🔗 Купить продукт")</f>
        <v/>
      </c>
    </row>
    <row r="82" ht="30" customHeight="1">
      <c r="A82" s="5" t="inlineStr">
        <is>
          <t>Процессоры</t>
        </is>
      </c>
      <c r="B82" s="5" t="inlineStr">
        <is>
          <t>Intel Xeon Gold 6326 (2.9GHz/16-core/185W)</t>
        </is>
      </c>
      <c r="C82" s="2" t="inlineStr"/>
      <c r="D82" s="2" t="n">
        <v>21781760</v>
      </c>
      <c r="E82" s="2" t="n">
        <v>19448000</v>
      </c>
      <c r="F82" s="2" t="inlineStr">
        <is>
          <t>Intel</t>
        </is>
      </c>
      <c r="G82" s="2">
        <f>HYPERLINK("https://itrix.uz/product/355", "🔗 Купить продукт")</f>
        <v/>
      </c>
    </row>
    <row r="83" ht="30" customHeight="1">
      <c r="A83" s="5" t="inlineStr">
        <is>
          <t>Жёсткие диски SSD</t>
        </is>
      </c>
      <c r="B83" s="5" t="inlineStr">
        <is>
          <t>SSD Накопитель HPE 480GB / SATA / MU / SSD</t>
        </is>
      </c>
      <c r="C83" s="2" t="inlineStr"/>
      <c r="D83" s="2" t="n">
        <v>6304480</v>
      </c>
      <c r="E83" s="2" t="n">
        <v>5629000</v>
      </c>
      <c r="F83" s="2" t="inlineStr">
        <is>
          <t>HPE</t>
        </is>
      </c>
      <c r="G83" s="2">
        <f>HYPERLINK("https://itrix.uz/product/58", "🔗 Купить продукт")</f>
        <v/>
      </c>
    </row>
    <row r="84" ht="30" customHeight="1">
      <c r="A84" s="5" t="inlineStr">
        <is>
          <t>Аксессуары</t>
        </is>
      </c>
      <c r="B84" s="5" t="inlineStr">
        <is>
          <t>Модуль вентиляторов HPE DL380 G10 Plus Max High Performance Fan</t>
        </is>
      </c>
      <c r="C84" s="2" t="inlineStr"/>
      <c r="D84" s="2" t="n">
        <v>1048320</v>
      </c>
      <c r="E84" s="2" t="n">
        <v>936000</v>
      </c>
      <c r="F84" s="2" t="inlineStr">
        <is>
          <t>HPE</t>
        </is>
      </c>
      <c r="G84" s="2">
        <f>HYPERLINK("https://itrix.uz/product/127", "🔗 Купить продукт")</f>
        <v/>
      </c>
    </row>
    <row r="85" ht="30" customHeight="1">
      <c r="A85" s="5" t="inlineStr">
        <is>
          <t>Процессоры</t>
        </is>
      </c>
      <c r="B85" s="5" t="inlineStr">
        <is>
          <t>Intel Xeon Silver 4309Y 2.8G, 8C, 12M (105W)</t>
        </is>
      </c>
      <c r="C85" s="2" t="inlineStr"/>
      <c r="D85" s="2" t="n">
        <v>8800792</v>
      </c>
      <c r="E85" s="2" t="n">
        <v>7857850</v>
      </c>
      <c r="F85" s="2" t="inlineStr">
        <is>
          <t>Intel</t>
        </is>
      </c>
      <c r="G85" s="2">
        <f>HYPERLINK("https://itrix.uz/product/333", "🔗 Купить продукт")</f>
        <v/>
      </c>
    </row>
    <row r="86" ht="30" customHeight="1">
      <c r="A86" s="5" t="inlineStr">
        <is>
          <t>Жёсткие диски SSD</t>
        </is>
      </c>
      <c r="B86" s="5" t="inlineStr">
        <is>
          <t>SSD Накопитель HPE 960GB / SAS / MU / SSD</t>
        </is>
      </c>
      <c r="C86" s="2" t="inlineStr"/>
      <c r="D86" s="2" t="n">
        <v>10512320</v>
      </c>
      <c r="E86" s="2" t="n">
        <v>9386000</v>
      </c>
      <c r="F86" s="2" t="inlineStr">
        <is>
          <t>HPE</t>
        </is>
      </c>
      <c r="G86" s="2">
        <f>HYPERLINK("https://itrix.uz/product/63", "🔗 Купить продукт")</f>
        <v/>
      </c>
    </row>
    <row r="87" ht="30" customHeight="1">
      <c r="A87" s="5" t="inlineStr">
        <is>
          <t>Процессоры</t>
        </is>
      </c>
      <c r="B87" s="5" t="inlineStr">
        <is>
          <t>Intel Xeon-Silver 4210 (2.2GHz/10-core/85W)</t>
        </is>
      </c>
      <c r="C87" s="2" t="inlineStr"/>
      <c r="D87" s="2" t="n">
        <v>4027296</v>
      </c>
      <c r="E87" s="2" t="n">
        <v>3595800</v>
      </c>
      <c r="F87" s="2" t="inlineStr">
        <is>
          <t>Intel</t>
        </is>
      </c>
      <c r="G87" s="2">
        <f>HYPERLINK("https://itrix.uz/product/335", "🔗 Купить продукт")</f>
        <v/>
      </c>
    </row>
    <row r="88" ht="30" customHeight="1">
      <c r="A88" s="5" t="inlineStr">
        <is>
          <t>Жёсткие диски SSD</t>
        </is>
      </c>
      <c r="B88" s="5" t="inlineStr">
        <is>
          <t>SSD Накопитель HPE 1.92TB / SATA / RI / SSD</t>
        </is>
      </c>
      <c r="C88" s="2" t="inlineStr"/>
      <c r="D88" s="2" t="n">
        <v>16816800</v>
      </c>
      <c r="E88" s="2" t="n">
        <v>15015000</v>
      </c>
      <c r="F88" s="2" t="inlineStr">
        <is>
          <t>HPE</t>
        </is>
      </c>
      <c r="G88" s="2">
        <f>HYPERLINK("https://itrix.uz/product/64", "🔗 Купить продукт")</f>
        <v/>
      </c>
    </row>
    <row r="89" ht="30" customHeight="1">
      <c r="A89" s="5" t="inlineStr">
        <is>
          <t>Процессоры</t>
        </is>
      </c>
      <c r="B89" s="5" t="inlineStr">
        <is>
          <t>Intel Xeon Gold 6342 (2.8GHz/24-core/230W)</t>
        </is>
      </c>
      <c r="C89" s="2" t="inlineStr"/>
      <c r="D89" s="2" t="n">
        <v>38787840</v>
      </c>
      <c r="E89" s="2" t="n">
        <v>34632000</v>
      </c>
      <c r="F89" s="2" t="inlineStr">
        <is>
          <t>Intel</t>
        </is>
      </c>
      <c r="G89" s="2">
        <f>HYPERLINK("https://itrix.uz/product/359", "🔗 Купить продукт")</f>
        <v/>
      </c>
    </row>
    <row r="90" ht="30" customHeight="1">
      <c r="A90" s="5" t="inlineStr">
        <is>
          <t>Жёсткие диски SSD</t>
        </is>
      </c>
      <c r="B90" s="5" t="inlineStr">
        <is>
          <t>SSD Накопитель HPE 960GB / SATA / RI / SSD</t>
        </is>
      </c>
      <c r="C90" s="2" t="inlineStr"/>
      <c r="D90" s="2" t="n">
        <v>5416320</v>
      </c>
      <c r="E90" s="2" t="n">
        <v>4836000</v>
      </c>
      <c r="F90" s="2" t="inlineStr">
        <is>
          <t>HPE</t>
        </is>
      </c>
      <c r="G90" s="2">
        <f>HYPERLINK("https://itrix.uz/product/73", "🔗 Купить продукт")</f>
        <v/>
      </c>
    </row>
    <row r="91" ht="30" customHeight="1">
      <c r="A91" s="5" t="inlineStr">
        <is>
          <t>Процессоры</t>
        </is>
      </c>
      <c r="B91" s="5" t="inlineStr">
        <is>
          <t>Intel Xeon Gold 6334 (3.6GHz/8-core/165W)</t>
        </is>
      </c>
      <c r="C91" s="2" t="inlineStr"/>
      <c r="D91" s="2" t="n">
        <v>25960480</v>
      </c>
      <c r="E91" s="2" t="n">
        <v>23179000</v>
      </c>
      <c r="F91" s="2" t="inlineStr">
        <is>
          <t>Intel</t>
        </is>
      </c>
      <c r="G91" s="2">
        <f>HYPERLINK("https://itrix.uz/product/357", "🔗 Купить продукт")</f>
        <v/>
      </c>
    </row>
    <row r="92" ht="30" customHeight="1">
      <c r="A92" s="5" t="inlineStr">
        <is>
          <t>Жёсткие диски SSD</t>
        </is>
      </c>
      <c r="B92" s="5" t="inlineStr">
        <is>
          <t>SSD Накопитель HPE 480GB PM1633a / SAS / RI / SSD</t>
        </is>
      </c>
      <c r="C92" s="2" t="inlineStr"/>
      <c r="D92" s="2" t="n">
        <v>5605600</v>
      </c>
      <c r="E92" s="2" t="n">
        <v>5005000</v>
      </c>
      <c r="F92" s="2" t="inlineStr">
        <is>
          <t>HPE</t>
        </is>
      </c>
      <c r="G92" s="2">
        <f>HYPERLINK("https://itrix.uz/product/75", "🔗 Купить продукт")</f>
        <v/>
      </c>
    </row>
    <row r="93" ht="30" customHeight="1">
      <c r="A93" s="5" t="inlineStr">
        <is>
          <t>Процессоры</t>
        </is>
      </c>
      <c r="B93" s="5" t="inlineStr">
        <is>
          <t>Intel Xeon-Gold 6226R (2.9GHz/16-core/150W)</t>
        </is>
      </c>
      <c r="C93" s="2" t="inlineStr"/>
      <c r="D93" s="2" t="n">
        <v>16700320</v>
      </c>
      <c r="E93" s="2" t="n">
        <v>14911000</v>
      </c>
      <c r="F93" s="2" t="inlineStr">
        <is>
          <t>Intel</t>
        </is>
      </c>
      <c r="G93" s="2">
        <f>HYPERLINK("https://itrix.uz/product/351", "🔗 Купить продукт")</f>
        <v/>
      </c>
    </row>
    <row r="94" ht="30" customHeight="1">
      <c r="A94" s="5" t="inlineStr">
        <is>
          <t>Процессоры</t>
        </is>
      </c>
      <c r="B94" s="5" t="inlineStr">
        <is>
          <t>Intel Xeon Gold 5320 (2.2GHz/26-core/185W)</t>
        </is>
      </c>
      <c r="C94" s="2" t="inlineStr"/>
      <c r="D94" s="2" t="n">
        <v>18913440</v>
      </c>
      <c r="E94" s="2" t="n">
        <v>16887000</v>
      </c>
      <c r="F94" s="2" t="inlineStr">
        <is>
          <t>Intel</t>
        </is>
      </c>
      <c r="G94" s="2">
        <f>HYPERLINK("https://itrix.uz/product/350", "🔗 Купить продукт")</f>
        <v/>
      </c>
    </row>
    <row r="95" ht="30" customHeight="1">
      <c r="A95" s="5" t="inlineStr">
        <is>
          <t>Процессоры</t>
        </is>
      </c>
      <c r="B95" s="5" t="inlineStr">
        <is>
          <t>Intel Xeon Gold 6330 (2.0GHz/28-core/205W)</t>
        </is>
      </c>
      <c r="C95" s="2" t="inlineStr"/>
      <c r="D95" s="2" t="n">
        <v>18214560</v>
      </c>
      <c r="E95" s="2" t="n">
        <v>16263000</v>
      </c>
      <c r="F95" s="2" t="inlineStr">
        <is>
          <t>Intel</t>
        </is>
      </c>
      <c r="G95" s="2">
        <f>HYPERLINK("https://itrix.uz/product/356", "🔗 Купить продукт")</f>
        <v/>
      </c>
    </row>
    <row r="96" ht="30" customHeight="1">
      <c r="A96" s="5" t="inlineStr">
        <is>
          <t>Аксессуары</t>
        </is>
      </c>
      <c r="B96" s="5" t="inlineStr">
        <is>
          <t xml:space="preserve">RAID-контроллер DELL Perc H345 RAID Controller </t>
        </is>
      </c>
      <c r="C96" s="2" t="inlineStr"/>
      <c r="D96" s="2" t="n">
        <v>4207840</v>
      </c>
      <c r="E96" s="2" t="n">
        <v>3757000</v>
      </c>
      <c r="F96" s="2" t="inlineStr">
        <is>
          <t>Dell</t>
        </is>
      </c>
      <c r="G96" s="2">
        <f>HYPERLINK("https://itrix.uz/product/115", "🔗 Купить продукт")</f>
        <v/>
      </c>
    </row>
    <row r="97" ht="30" customHeight="1">
      <c r="A97" s="5" t="inlineStr">
        <is>
          <t>Аксессуары</t>
        </is>
      </c>
      <c r="B97" s="5" t="inlineStr">
        <is>
          <t>Сетевая карта Broadcom 5720 1Gb 2-port PCIe</t>
        </is>
      </c>
      <c r="C97" s="2" t="inlineStr"/>
      <c r="D97" s="2" t="n">
        <v>2096640</v>
      </c>
      <c r="E97" s="2" t="n">
        <v>1872000</v>
      </c>
      <c r="F97" s="2" t="inlineStr">
        <is>
          <t>Dell</t>
        </is>
      </c>
      <c r="G97" s="2">
        <f>HYPERLINK("https://itrix.uz/product/128", "🔗 Купить продукт")</f>
        <v/>
      </c>
    </row>
    <row r="98" ht="30" customHeight="1">
      <c r="A98" s="5" t="inlineStr">
        <is>
          <t>Блоки питания</t>
        </is>
      </c>
      <c r="B98" s="5" t="inlineStr">
        <is>
          <t>Блок питания HPE 500W Flex Slot Platinum Hot Plug Low Halogen PS</t>
        </is>
      </c>
      <c r="C98" s="2" t="inlineStr"/>
      <c r="D98" s="2" t="n">
        <v>2591680</v>
      </c>
      <c r="E98" s="2" t="n">
        <v>2314000</v>
      </c>
      <c r="F98" s="2" t="inlineStr">
        <is>
          <t>HPE</t>
        </is>
      </c>
      <c r="G98" s="2">
        <f>HYPERLINK("https://itrix.uz/product/120", "🔗 Купить продукт")</f>
        <v/>
      </c>
    </row>
    <row r="99" ht="30" customHeight="1">
      <c r="A99" s="5" t="inlineStr">
        <is>
          <t>Процессоры</t>
        </is>
      </c>
      <c r="B99" s="5" t="inlineStr">
        <is>
          <t>Intel Xeon Gold 5317 (3.0GHz/12-core/150W)</t>
        </is>
      </c>
      <c r="C99" s="2" t="inlineStr"/>
      <c r="D99" s="2" t="n">
        <v>18491200</v>
      </c>
      <c r="E99" s="2" t="n">
        <v>16510000</v>
      </c>
      <c r="F99" s="2" t="inlineStr">
        <is>
          <t>Intel</t>
        </is>
      </c>
      <c r="G99" s="2">
        <f>HYPERLINK("https://itrix.uz/product/348", "🔗 Купить продукт")</f>
        <v/>
      </c>
    </row>
    <row r="100" ht="30" customHeight="1">
      <c r="A100" s="5" t="inlineStr">
        <is>
          <t>Процессоры</t>
        </is>
      </c>
      <c r="B100" s="5" t="inlineStr">
        <is>
          <t>Intel Xeon-Gold 5220 (2.2GHz/18-core/125W)</t>
        </is>
      </c>
      <c r="C100" s="2" t="inlineStr"/>
      <c r="D100" s="2" t="n">
        <v>5066880</v>
      </c>
      <c r="E100" s="2" t="n">
        <v>4524000</v>
      </c>
      <c r="F100" s="2" t="inlineStr">
        <is>
          <t>Intel</t>
        </is>
      </c>
      <c r="G100" s="2">
        <f>HYPERLINK("https://itrix.uz/product/345", "🔗 Купить продукт")</f>
        <v/>
      </c>
    </row>
    <row r="101" ht="30" customHeight="1">
      <c r="A101" s="5" t="inlineStr">
        <is>
          <t>Аксессуары</t>
        </is>
      </c>
      <c r="B101" s="5" t="inlineStr">
        <is>
          <t xml:space="preserve">Сетевой адаптер HPE Broadcom BCM57414 Ethernet 10/25Gb 2-port SFP28 </t>
        </is>
      </c>
      <c r="C101" s="2" t="inlineStr"/>
      <c r="D101" s="2" t="n">
        <v>5605600</v>
      </c>
      <c r="E101" s="2" t="n">
        <v>5005000</v>
      </c>
      <c r="F101" s="2" t="inlineStr">
        <is>
          <t>HPE</t>
        </is>
      </c>
      <c r="G101" s="2">
        <f>HYPERLINK("https://itrix.uz/product/133", "🔗 Купить продукт")</f>
        <v/>
      </c>
    </row>
    <row r="102" ht="30" customHeight="1">
      <c r="A102" s="5" t="inlineStr">
        <is>
          <t>RAID-контроллер</t>
        </is>
      </c>
      <c r="B102" s="5" t="inlineStr">
        <is>
          <t>RAID Контроллер DELL PERC H355 Adapter</t>
        </is>
      </c>
      <c r="C102" s="2" t="inlineStr"/>
      <c r="D102" s="2" t="n">
        <v>4033120</v>
      </c>
      <c r="E102" s="2" t="n">
        <v>3601000</v>
      </c>
      <c r="F102" s="2" t="inlineStr">
        <is>
          <t>Dell</t>
        </is>
      </c>
      <c r="G102" s="2">
        <f>HYPERLINK("https://itrix.uz/product/151", "🔗 Купить продукт")</f>
        <v/>
      </c>
    </row>
    <row r="103" ht="30" customHeight="1">
      <c r="A103" s="5" t="inlineStr">
        <is>
          <t>Процессоры</t>
        </is>
      </c>
      <c r="B103" s="5" t="inlineStr">
        <is>
          <t>Intel Xeon Silver 4310 (2.1GHz/12-Core/120W)</t>
        </is>
      </c>
      <c r="C103" s="2" t="inlineStr"/>
      <c r="D103" s="2" t="n">
        <v>8503040</v>
      </c>
      <c r="E103" s="2" t="n">
        <v>7592000</v>
      </c>
      <c r="F103" s="2" t="inlineStr">
        <is>
          <t>Intel</t>
        </is>
      </c>
      <c r="G103" s="2">
        <f>HYPERLINK("https://itrix.uz/product/340", "🔗 Купить продукт")</f>
        <v/>
      </c>
    </row>
    <row r="104" ht="30" customHeight="1">
      <c r="A104" s="5" t="inlineStr">
        <is>
          <t>Жёсткие диски SSD</t>
        </is>
      </c>
      <c r="B104" s="5" t="inlineStr">
        <is>
          <t>SSD Накопитель HPE 1.92TB / SAS / MU / SSD</t>
        </is>
      </c>
      <c r="C104" s="2" t="inlineStr"/>
      <c r="D104" s="2" t="n">
        <v>18913440</v>
      </c>
      <c r="E104" s="2" t="n">
        <v>16887000</v>
      </c>
      <c r="F104" s="2" t="inlineStr">
        <is>
          <t>HPE</t>
        </is>
      </c>
      <c r="G104" s="2">
        <f>HYPERLINK("https://itrix.uz/product/65", "🔗 Купить продукт")</f>
        <v/>
      </c>
    </row>
    <row r="105" ht="30" customHeight="1">
      <c r="A105" s="5" t="inlineStr">
        <is>
          <t>Процессоры</t>
        </is>
      </c>
      <c r="B105" s="5" t="inlineStr">
        <is>
          <t>Intel Xeon-Gold 5218R (2.1GHz/20-core/125W)</t>
        </is>
      </c>
      <c r="C105" s="2" t="inlineStr"/>
      <c r="D105" s="2" t="n">
        <v>12608960</v>
      </c>
      <c r="E105" s="2" t="n">
        <v>11258000</v>
      </c>
      <c r="F105" s="2" t="inlineStr">
        <is>
          <t>Intel</t>
        </is>
      </c>
      <c r="G105" s="2">
        <f>HYPERLINK("https://itrix.uz/product/344", "🔗 Купить продукт")</f>
        <v/>
      </c>
    </row>
    <row r="106" ht="30" customHeight="1">
      <c r="A106" s="5" t="inlineStr">
        <is>
          <t>Процессоры</t>
        </is>
      </c>
      <c r="B106" s="5" t="inlineStr">
        <is>
          <t>Intel Xeon Silver 4316 (2.3GHz/20-core/150W)</t>
        </is>
      </c>
      <c r="C106" s="2" t="inlineStr"/>
      <c r="D106" s="2" t="n">
        <v>18345600</v>
      </c>
      <c r="E106" s="2" t="n">
        <v>16380000</v>
      </c>
      <c r="F106" s="2" t="inlineStr">
        <is>
          <t>Intel</t>
        </is>
      </c>
      <c r="G106" s="2">
        <f>HYPERLINK("https://itrix.uz/product/342", "🔗 Купить продукт")</f>
        <v/>
      </c>
    </row>
    <row r="107" ht="30" customHeight="1">
      <c r="A107" s="5" t="inlineStr">
        <is>
          <t>Процессоры</t>
        </is>
      </c>
      <c r="B107" s="5" t="inlineStr">
        <is>
          <t>Intel Xeon-Silver 4214 (2.2GHz/12-core/85W)</t>
        </is>
      </c>
      <c r="C107" s="2" t="inlineStr"/>
      <c r="D107" s="2" t="n">
        <v>2839200</v>
      </c>
      <c r="E107" s="2" t="n">
        <v>2535000</v>
      </c>
      <c r="F107" s="2" t="inlineStr">
        <is>
          <t>Intel</t>
        </is>
      </c>
      <c r="G107" s="2">
        <f>HYPERLINK("https://itrix.uz/product/337", "🔗 Купить продукт")</f>
        <v/>
      </c>
    </row>
    <row r="108" ht="30" customHeight="1">
      <c r="A108" s="5" t="inlineStr">
        <is>
          <t>Жёсткие диски SSD</t>
        </is>
      </c>
      <c r="B108" s="5" t="inlineStr">
        <is>
          <t>SSD Накопитель HPE 3.84TB / SAS / MU / SSD</t>
        </is>
      </c>
      <c r="C108" s="2" t="inlineStr"/>
      <c r="D108" s="2" t="n">
        <v>22422400</v>
      </c>
      <c r="E108" s="2" t="n">
        <v>20020000</v>
      </c>
      <c r="F108" s="2" t="inlineStr">
        <is>
          <t>HPE</t>
        </is>
      </c>
      <c r="G108" s="2">
        <f>HYPERLINK("https://itrix.uz/product/71", "🔗 Купить продукт")</f>
        <v/>
      </c>
    </row>
    <row r="109" ht="30" customHeight="1">
      <c r="A109" s="5" t="inlineStr">
        <is>
          <t>Процессоры</t>
        </is>
      </c>
      <c r="B109" s="5" t="inlineStr">
        <is>
          <t>Intel Xeon-Silver 4214R (2.4GHz/12-core/100W)</t>
        </is>
      </c>
      <c r="C109" s="2" t="inlineStr"/>
      <c r="D109" s="2" t="n">
        <v>9813440</v>
      </c>
      <c r="E109" s="2" t="n">
        <v>8762000</v>
      </c>
      <c r="F109" s="2" t="inlineStr">
        <is>
          <t>Intel</t>
        </is>
      </c>
      <c r="G109" s="2">
        <f>HYPERLINK("https://itrix.uz/product/338", "🔗 Купить продукт")</f>
        <v/>
      </c>
    </row>
    <row r="110" ht="30" customHeight="1">
      <c r="A110" s="5" t="inlineStr">
        <is>
          <t>Жёсткие диски SSD</t>
        </is>
      </c>
      <c r="B110" s="5" t="inlineStr">
        <is>
          <t>SSD Накопитель HPE 3.2TB / SAS / MU / SSD</t>
        </is>
      </c>
      <c r="C110" s="2" t="inlineStr"/>
      <c r="D110" s="2" t="n">
        <v>19612320</v>
      </c>
      <c r="E110" s="2" t="n">
        <v>17511000</v>
      </c>
      <c r="F110" s="2" t="inlineStr">
        <is>
          <t>HPE</t>
        </is>
      </c>
      <c r="G110" s="2">
        <f>HYPERLINK("https://itrix.uz/product/74", "🔗 Купить продукт")</f>
        <v/>
      </c>
    </row>
    <row r="111" ht="30" customHeight="1">
      <c r="A111" s="5" t="inlineStr">
        <is>
          <t>Аксессуары</t>
        </is>
      </c>
      <c r="B111" s="5" t="inlineStr">
        <is>
          <t>Сетевой адаптер HPE Mellanox MCX631102AS-ADAT Ethernet 10/25Gb 2-port SFP</t>
        </is>
      </c>
      <c r="C111" s="2" t="inlineStr"/>
      <c r="D111" s="2" t="n">
        <v>7454720</v>
      </c>
      <c r="E111" s="2" t="n">
        <v>6656000</v>
      </c>
      <c r="F111" s="2" t="inlineStr">
        <is>
          <t>HPE</t>
        </is>
      </c>
      <c r="G111" s="2">
        <f>HYPERLINK("https://itrix.uz/product/136", "🔗 Купить продукт")</f>
        <v/>
      </c>
    </row>
    <row r="112" ht="30" customHeight="1">
      <c r="A112" s="5" t="inlineStr">
        <is>
          <t>Процессоры</t>
        </is>
      </c>
      <c r="B112" s="5" t="inlineStr">
        <is>
          <t>Intel Xeon Gold 5315Y (3.2GHz/8-core/140W)</t>
        </is>
      </c>
      <c r="C112" s="2" t="inlineStr"/>
      <c r="D112" s="2" t="n">
        <v>20296640</v>
      </c>
      <c r="E112" s="2" t="n">
        <v>18122000</v>
      </c>
      <c r="F112" s="2" t="inlineStr">
        <is>
          <t>Intel</t>
        </is>
      </c>
      <c r="G112" s="2">
        <f>HYPERLINK("https://itrix.uz/product/347", "🔗 Купить продукт")</f>
        <v/>
      </c>
    </row>
    <row r="113" ht="30" customHeight="1">
      <c r="A113" s="5" t="inlineStr">
        <is>
          <t>Жёсткие диски SSD</t>
        </is>
      </c>
      <c r="B113" s="5" t="inlineStr">
        <is>
          <t>SSD Накопитель DELL 1.92TB / SATA / RI / SSD</t>
        </is>
      </c>
      <c r="C113" s="2" t="inlineStr"/>
      <c r="D113" s="2" t="n">
        <v>11910080</v>
      </c>
      <c r="E113" s="2" t="n">
        <v>10634000</v>
      </c>
      <c r="F113" s="2" t="inlineStr">
        <is>
          <t>Dell</t>
        </is>
      </c>
      <c r="G113" s="2">
        <f>HYPERLINK("https://itrix.uz/product/54", "🔗 Купить продукт")</f>
        <v/>
      </c>
    </row>
    <row r="114" ht="30" customHeight="1">
      <c r="A114" s="5" t="inlineStr">
        <is>
          <t>Оперативная память (RAM)</t>
        </is>
      </c>
      <c r="B114" s="5" t="inlineStr">
        <is>
          <t>Операвтивная память HPE 16GB DDR4-2666Mhz 2666V-R SMART Kit</t>
        </is>
      </c>
      <c r="C114" s="2" t="inlineStr"/>
      <c r="D114" s="2" t="n">
        <v>1747200</v>
      </c>
      <c r="E114" s="2" t="n">
        <v>1560000</v>
      </c>
      <c r="F114" s="2" t="inlineStr">
        <is>
          <t>HPE</t>
        </is>
      </c>
      <c r="G114" s="2">
        <f>HYPERLINK("https://itrix.uz/product/86", "🔗 Купить продукт")</f>
        <v/>
      </c>
    </row>
    <row r="115" ht="30" customHeight="1">
      <c r="A115" s="5" t="inlineStr">
        <is>
          <t>Процессоры</t>
        </is>
      </c>
      <c r="B115" s="5" t="inlineStr">
        <is>
          <t>Intel Xeon Gold 5318Y (2.1GHz/24-core/165W)</t>
        </is>
      </c>
      <c r="C115" s="2" t="inlineStr"/>
      <c r="D115" s="2" t="n">
        <v>19685120</v>
      </c>
      <c r="E115" s="2" t="n">
        <v>17576000</v>
      </c>
      <c r="F115" s="2" t="inlineStr">
        <is>
          <t>Intel</t>
        </is>
      </c>
      <c r="G115" s="2">
        <f>HYPERLINK("https://itrix.uz/product/349", "🔗 Купить продукт")</f>
        <v/>
      </c>
    </row>
    <row r="116" ht="30" customHeight="1">
      <c r="A116" s="5" t="inlineStr">
        <is>
          <t>Жёсткие диски SSD</t>
        </is>
      </c>
      <c r="B116" s="5" t="inlineStr">
        <is>
          <t>SSD Накопитель DELL 3.84TB / SAS / RI / SSD</t>
        </is>
      </c>
      <c r="C116" s="2" t="inlineStr"/>
      <c r="D116" s="2" t="n">
        <v>21024640</v>
      </c>
      <c r="E116" s="2" t="n">
        <v>18772000</v>
      </c>
      <c r="F116" s="2" t="inlineStr">
        <is>
          <t>Dell</t>
        </is>
      </c>
      <c r="G116" s="2">
        <f>HYPERLINK("https://itrix.uz/product/56", "🔗 Купить продукт")</f>
        <v/>
      </c>
    </row>
    <row r="117" ht="30" customHeight="1">
      <c r="A117" s="5" t="inlineStr">
        <is>
          <t>NVME</t>
        </is>
      </c>
      <c r="B117" s="5" t="inlineStr">
        <is>
          <t>1.6TB PCI-e NVMe / Mix Use / Express Flash / PCI-e 4.0</t>
        </is>
      </c>
      <c r="C117" s="2" t="inlineStr"/>
      <c r="D117" s="2" t="n">
        <v>10439520</v>
      </c>
      <c r="E117" s="2" t="n">
        <v>9321000</v>
      </c>
      <c r="F117" s="2" t="inlineStr">
        <is>
          <t>Dell</t>
        </is>
      </c>
      <c r="G117" s="2">
        <f>HYPERLINK("https://itrix.uz/product/96", "🔗 Купить продукт")</f>
        <v/>
      </c>
    </row>
    <row r="118" ht="30" customHeight="1">
      <c r="A118" s="5" t="inlineStr">
        <is>
          <t>RAID-контроллер</t>
        </is>
      </c>
      <c r="B118" s="5" t="inlineStr">
        <is>
          <t>RAID контроллер HPE Smart Array S100i SR Gen10 SW RAID</t>
        </is>
      </c>
      <c r="C118" s="2" t="inlineStr"/>
      <c r="D118" s="2" t="n">
        <v>1936480</v>
      </c>
      <c r="E118" s="2" t="n">
        <v>1729000</v>
      </c>
      <c r="F118" s="2" t="inlineStr">
        <is>
          <t>HPE</t>
        </is>
      </c>
      <c r="G118" s="2">
        <f>HYPERLINK("https://itrix.uz/product/144", "🔗 Купить продукт")</f>
        <v/>
      </c>
    </row>
    <row r="119" ht="30" customHeight="1">
      <c r="A119" s="5" t="inlineStr">
        <is>
          <t>Процессоры</t>
        </is>
      </c>
      <c r="B119" s="5" t="inlineStr">
        <is>
          <t>Intel Xeon-Silver 4208 (2.1GHz/8-core/85W)</t>
        </is>
      </c>
      <c r="C119" s="2" t="inlineStr"/>
      <c r="D119" s="2" t="n">
        <v>5603270</v>
      </c>
      <c r="E119" s="2" t="n">
        <v>5002920</v>
      </c>
      <c r="F119" s="2" t="inlineStr">
        <is>
          <t>Intel</t>
        </is>
      </c>
      <c r="G119" s="2">
        <f>HYPERLINK("https://itrix.uz/product/334", "🔗 Купить продукт")</f>
        <v/>
      </c>
    </row>
    <row r="120" ht="30" customHeight="1">
      <c r="A120" s="5" t="inlineStr">
        <is>
          <t>Процессоры</t>
        </is>
      </c>
      <c r="B120" s="5" t="inlineStr">
        <is>
          <t>Intel Xeon-Silver 4215R (3.2GHz/8-core/130W)</t>
        </is>
      </c>
      <c r="C120" s="2" t="inlineStr"/>
      <c r="D120" s="2" t="n">
        <v>13424320</v>
      </c>
      <c r="E120" s="2" t="n">
        <v>11986000</v>
      </c>
      <c r="F120" s="2" t="inlineStr">
        <is>
          <t>Intel</t>
        </is>
      </c>
      <c r="G120" s="2">
        <f>HYPERLINK("https://itrix.uz/product/339", "🔗 Купить продукт")</f>
        <v/>
      </c>
    </row>
    <row r="121" ht="30" customHeight="1">
      <c r="A121" s="5" t="inlineStr">
        <is>
          <t>Жёсткие диски SSD</t>
        </is>
      </c>
      <c r="B121" s="5" t="inlineStr">
        <is>
          <t>SSD Накопитель DELL 1.92TB / SAS / RI / SSD</t>
        </is>
      </c>
      <c r="C121" s="2" t="inlineStr"/>
      <c r="D121" s="2" t="n">
        <v>16816800</v>
      </c>
      <c r="E121" s="2" t="n">
        <v>15015000</v>
      </c>
      <c r="F121" s="2" t="inlineStr">
        <is>
          <t>Dell</t>
        </is>
      </c>
      <c r="G121" s="2">
        <f>HYPERLINK("https://itrix.uz/product/60", "🔗 Купить продукт")</f>
        <v/>
      </c>
    </row>
    <row r="122" ht="30" customHeight="1">
      <c r="A122" s="5" t="inlineStr">
        <is>
          <t>Оперативная память (RAM)</t>
        </is>
      </c>
      <c r="B122" s="5" t="inlineStr">
        <is>
          <t>Оперативная память Samsung 16GB DDR4-2666MHz 2666V</t>
        </is>
      </c>
      <c r="C122" s="2" t="inlineStr"/>
      <c r="D122" s="2" t="n">
        <v>1397760</v>
      </c>
      <c r="E122" s="2" t="n">
        <v>1248000</v>
      </c>
      <c r="F122" s="2" t="inlineStr">
        <is>
          <t>Samsung</t>
        </is>
      </c>
      <c r="G122" s="2">
        <f>HYPERLINK("https://itrix.uz/product/77", "🔗 Купить продукт")</f>
        <v/>
      </c>
    </row>
    <row r="123" ht="30" customHeight="1">
      <c r="A123" s="5" t="inlineStr">
        <is>
          <t>Оперативная память (RAM)</t>
        </is>
      </c>
      <c r="B123" s="5" t="inlineStr">
        <is>
          <t>Оперативная память Samsung 32GB DDR4-3200MHz UDIMM</t>
        </is>
      </c>
      <c r="C123" s="2" t="inlineStr"/>
      <c r="D123" s="2" t="n">
        <v>2810080</v>
      </c>
      <c r="E123" s="2" t="n">
        <v>2509000</v>
      </c>
      <c r="F123" s="2" t="inlineStr">
        <is>
          <t>Samsung</t>
        </is>
      </c>
      <c r="G123" s="2">
        <f>HYPERLINK("https://itrix.uz/product/78", "🔗 Купить продукт")</f>
        <v/>
      </c>
    </row>
    <row r="124" ht="30" customHeight="1">
      <c r="A124" s="5" t="inlineStr">
        <is>
          <t>Оперативная память (RAM)</t>
        </is>
      </c>
      <c r="B124" s="5" t="inlineStr">
        <is>
          <t>Оперативная память HPE 16GB DDR4-3200MHz 3200AA</t>
        </is>
      </c>
      <c r="C124" s="2" t="inlineStr"/>
      <c r="D124" s="2" t="n">
        <v>1121120</v>
      </c>
      <c r="E124" s="2" t="n">
        <v>1001000</v>
      </c>
      <c r="F124" s="2" t="inlineStr">
        <is>
          <t>HPE</t>
        </is>
      </c>
      <c r="G124" s="2">
        <f>HYPERLINK("https://itrix.uz/product/93", "🔗 Купить продукт")</f>
        <v/>
      </c>
    </row>
    <row r="125" ht="30" customHeight="1">
      <c r="A125" s="5" t="inlineStr">
        <is>
          <t>Оперативная память (RAM)</t>
        </is>
      </c>
      <c r="B125" s="5" t="inlineStr">
        <is>
          <t>Оперативная память Samsung 64GB DDR4-2666MHz 2666V-LD2-12-DB1 LRDIMM</t>
        </is>
      </c>
      <c r="C125" s="2" t="inlineStr"/>
      <c r="D125" s="2" t="n">
        <v>1368640</v>
      </c>
      <c r="E125" s="2" t="n">
        <v>1222000</v>
      </c>
      <c r="F125" s="2" t="inlineStr">
        <is>
          <t>Samsung</t>
        </is>
      </c>
      <c r="G125" s="2">
        <f>HYPERLINK("https://itrix.uz/product/81", "🔗 Купить продукт")</f>
        <v/>
      </c>
    </row>
    <row r="126" ht="30" customHeight="1">
      <c r="A126" s="5" t="inlineStr">
        <is>
          <t>Оперативная память (RAM)</t>
        </is>
      </c>
      <c r="B126" s="5" t="inlineStr">
        <is>
          <t>Оперативная память Samsung 16GB DDR4-2666MHz 2666V-EE1-11 UDIMM</t>
        </is>
      </c>
      <c r="C126" s="2" t="inlineStr"/>
      <c r="D126" s="2" t="n">
        <v>1412320</v>
      </c>
      <c r="E126" s="2" t="n">
        <v>1261000</v>
      </c>
      <c r="F126" s="2" t="inlineStr">
        <is>
          <t>Samsung</t>
        </is>
      </c>
      <c r="G126" s="2">
        <f>HYPERLINK("https://itrix.uz/product/83", "🔗 Купить продукт")</f>
        <v/>
      </c>
    </row>
    <row r="127" ht="30" customHeight="1">
      <c r="A127" s="5" t="inlineStr">
        <is>
          <t>Оперативная память (RAM)</t>
        </is>
      </c>
      <c r="B127" s="5" t="inlineStr">
        <is>
          <t>Оперативная память Samsung 8GB DDR4-2400MHz 2400T-ED2-11 UDIMM</t>
        </is>
      </c>
      <c r="C127" s="2" t="inlineStr"/>
      <c r="D127" s="2" t="n">
        <v>276640</v>
      </c>
      <c r="E127" s="2" t="n">
        <v>247000</v>
      </c>
      <c r="F127" s="2" t="inlineStr">
        <is>
          <t>Samsung</t>
        </is>
      </c>
      <c r="G127" s="2">
        <f>HYPERLINK("https://itrix.uz/product/76", "🔗 Купить продукт")</f>
        <v/>
      </c>
    </row>
    <row r="128" ht="30" customHeight="1">
      <c r="A128" s="5" t="inlineStr">
        <is>
          <t>Оперативная память (RAM)</t>
        </is>
      </c>
      <c r="B128" s="5" t="inlineStr">
        <is>
          <t>Оперативная память Samsung / SK hynix 16GB DDR4-2933MHz</t>
        </is>
      </c>
      <c r="C128" s="2" t="inlineStr"/>
      <c r="D128" s="2" t="n">
        <v>1397760</v>
      </c>
      <c r="E128" s="2" t="n">
        <v>1248000</v>
      </c>
      <c r="F128" s="2" t="inlineStr">
        <is>
          <t>Samsung</t>
        </is>
      </c>
      <c r="G128" s="2">
        <f>HYPERLINK("https://itrix.uz/product/84", "🔗 Купить продукт")</f>
        <v/>
      </c>
    </row>
    <row r="129" ht="30" customHeight="1">
      <c r="A129" s="5" t="inlineStr">
        <is>
          <t>Оперативная память (RAM)</t>
        </is>
      </c>
      <c r="B129" s="5" t="inlineStr">
        <is>
          <t>Оперативная память Samsung 32GB DDR4-3200Mhz 3200AA-RB2-12</t>
        </is>
      </c>
      <c r="C129" s="2" t="inlineStr"/>
      <c r="D129" s="2" t="n">
        <v>2795520</v>
      </c>
      <c r="E129" s="2" t="n">
        <v>2496000</v>
      </c>
      <c r="F129" s="2" t="inlineStr">
        <is>
          <t>Samsung</t>
        </is>
      </c>
      <c r="G129" s="2">
        <f>HYPERLINK("https://itrix.uz/product/85", "🔗 Купить продукт")</f>
        <v/>
      </c>
    </row>
    <row r="130" ht="30" customHeight="1">
      <c r="A130" s="5" t="inlineStr">
        <is>
          <t>Оперативная память (RAM)</t>
        </is>
      </c>
      <c r="B130" s="5" t="inlineStr">
        <is>
          <t>Оперативная память HPE 32GB DDR4-3200Mhz 3200AA-RB2-12</t>
        </is>
      </c>
      <c r="C130" s="2" t="inlineStr"/>
      <c r="D130" s="2" t="n">
        <v>1645280</v>
      </c>
      <c r="E130" s="2" t="n">
        <v>1469000</v>
      </c>
      <c r="F130" s="2" t="inlineStr">
        <is>
          <t>HPE</t>
        </is>
      </c>
      <c r="G130" s="2">
        <f>HYPERLINK("https://itrix.uz/product/88", "🔗 Купить продукт")</f>
        <v/>
      </c>
    </row>
    <row r="131" ht="30" customHeight="1">
      <c r="A131" s="5" t="inlineStr">
        <is>
          <t>Оперативная память (RAM)</t>
        </is>
      </c>
      <c r="B131" s="5" t="inlineStr">
        <is>
          <t>Оперативная память HPE 8GB DDR4-3200Mhz 3200AA-E STND Kit</t>
        </is>
      </c>
      <c r="C131" s="2" t="inlineStr"/>
      <c r="D131" s="2" t="n">
        <v>1121120</v>
      </c>
      <c r="E131" s="2" t="n">
        <v>1001000</v>
      </c>
      <c r="F131" s="2" t="inlineStr">
        <is>
          <t>HPE</t>
        </is>
      </c>
      <c r="G131" s="2">
        <f>HYPERLINK("https://itrix.uz/product/87", "🔗 Купить продукт")</f>
        <v/>
      </c>
    </row>
    <row r="132" ht="30" customHeight="1">
      <c r="A132" s="5" t="inlineStr">
        <is>
          <t>Оперативная память (RAM)</t>
        </is>
      </c>
      <c r="B132" s="5" t="inlineStr">
        <is>
          <t>Оперативная память HPE 32GB DDR4- 2400MHz 2400T-RB1-11</t>
        </is>
      </c>
      <c r="C132" s="2" t="inlineStr"/>
      <c r="D132" s="2" t="n">
        <v>1747200</v>
      </c>
      <c r="E132" s="2" t="n">
        <v>1560000</v>
      </c>
      <c r="F132" s="2" t="inlineStr">
        <is>
          <t>HPE</t>
        </is>
      </c>
      <c r="G132" s="2">
        <f>HYPERLINK("https://itrix.uz/product/90", "🔗 Купить продукт")</f>
        <v/>
      </c>
    </row>
    <row r="133" ht="30" customHeight="1">
      <c r="A133" s="5" t="inlineStr">
        <is>
          <t>Оперативная память (RAM)</t>
        </is>
      </c>
      <c r="B133" s="5" t="inlineStr">
        <is>
          <t>Оперативная память HPE 64GB DDR4-3200MHz 3200AA-RB2</t>
        </is>
      </c>
      <c r="C133" s="2" t="inlineStr"/>
      <c r="D133" s="2" t="n">
        <v>2693600</v>
      </c>
      <c r="E133" s="2" t="n">
        <v>2405000</v>
      </c>
      <c r="F133" s="2" t="inlineStr">
        <is>
          <t>HPE</t>
        </is>
      </c>
      <c r="G133" s="2">
        <f>HYPERLINK("https://itrix.uz/product/94", "🔗 Купить продукт")</f>
        <v/>
      </c>
    </row>
    <row r="134" ht="30" customHeight="1">
      <c r="A134" s="5" t="inlineStr">
        <is>
          <t>Оперативная память (RAM)</t>
        </is>
      </c>
      <c r="B134" s="5" t="inlineStr">
        <is>
          <t xml:space="preserve">Оперативная память HPE 32GB DDR4-2666Mhz </t>
        </is>
      </c>
      <c r="C134" s="2" t="inlineStr"/>
      <c r="D134" s="2" t="n">
        <v>2038400</v>
      </c>
      <c r="E134" s="2" t="n">
        <v>1820000</v>
      </c>
      <c r="F134" s="2" t="inlineStr">
        <is>
          <t>HPE</t>
        </is>
      </c>
      <c r="G134" s="2">
        <f>HYPERLINK("https://itrix.uz/product/89", "🔗 Купить продукт")</f>
        <v/>
      </c>
    </row>
    <row r="135" ht="30" customHeight="1">
      <c r="A135" s="5" t="inlineStr">
        <is>
          <t>RAID-контроллер</t>
        </is>
      </c>
      <c r="B135" s="5" t="inlineStr">
        <is>
          <t>RAID Контроллер HPE Smart Array E208e-p SR Gen10 12G SAS 8Ext SA PCIe</t>
        </is>
      </c>
      <c r="C135" s="2" t="inlineStr"/>
      <c r="D135" s="2" t="n">
        <v>3581760</v>
      </c>
      <c r="E135" s="2" t="n">
        <v>3198000</v>
      </c>
      <c r="F135" s="2" t="inlineStr">
        <is>
          <t>HPE</t>
        </is>
      </c>
      <c r="G135" s="2">
        <f>HYPERLINK("https://itrix.uz/product/145", "🔗 Купить продукт")</f>
        <v/>
      </c>
    </row>
    <row r="136" ht="30" customHeight="1">
      <c r="A136" s="5" t="inlineStr">
        <is>
          <t>RAID-контроллер</t>
        </is>
      </c>
      <c r="B136" s="5" t="inlineStr">
        <is>
          <t>RAID Контроллер HPE P408i-a SR (Int.) 2gb Cache 12G SAS PCIe (incl.96W Batt)</t>
        </is>
      </c>
      <c r="C136" s="2" t="inlineStr"/>
      <c r="D136" s="2" t="n">
        <v>7003360</v>
      </c>
      <c r="E136" s="2" t="n">
        <v>6253000</v>
      </c>
      <c r="F136" s="2" t="inlineStr">
        <is>
          <t>HPE</t>
        </is>
      </c>
      <c r="G136" s="2">
        <f>HYPERLINK("https://itrix.uz/product/147", "🔗 Купить продукт")</f>
        <v/>
      </c>
    </row>
    <row r="137" ht="30" customHeight="1">
      <c r="A137" s="5" t="inlineStr">
        <is>
          <t>RAID-контроллер</t>
        </is>
      </c>
      <c r="B137" s="5" t="inlineStr">
        <is>
          <t>RAID Контроллер HPE DL38X Gen10 12Gb SAS Expander Card Kit with Cables</t>
        </is>
      </c>
      <c r="C137" s="2" t="inlineStr"/>
      <c r="D137" s="2" t="n">
        <v>8939840</v>
      </c>
      <c r="E137" s="2" t="n">
        <v>7982000</v>
      </c>
      <c r="F137" s="2" t="inlineStr">
        <is>
          <t>HPE</t>
        </is>
      </c>
      <c r="G137" s="2">
        <f>HYPERLINK("https://itrix.uz/product/149", "🔗 Купить продукт")</f>
        <v/>
      </c>
    </row>
    <row r="138" ht="30" customHeight="1">
      <c r="A138" s="5" t="inlineStr">
        <is>
          <t>RAID-контроллер</t>
        </is>
      </c>
      <c r="B138" s="5" t="inlineStr">
        <is>
          <t>RAID Контроллер DELL PERC H755N 8Gb RAID NVMe</t>
        </is>
      </c>
      <c r="C138" s="2" t="inlineStr"/>
      <c r="D138" s="2" t="n">
        <v>7906080</v>
      </c>
      <c r="E138" s="2" t="n">
        <v>7059000</v>
      </c>
      <c r="F138" s="2" t="inlineStr">
        <is>
          <t>Dell</t>
        </is>
      </c>
      <c r="G138" s="2">
        <f>HYPERLINK("https://itrix.uz/product/153", "🔗 Купить продукт")</f>
        <v/>
      </c>
    </row>
    <row r="139" ht="30" customHeight="1">
      <c r="A139" s="5" t="inlineStr">
        <is>
          <t>RAID-контроллер</t>
        </is>
      </c>
      <c r="B139" s="5" t="inlineStr">
        <is>
          <t>RAID Контроллер DELL PERC H745 4Gb RAID 12Gb/s</t>
        </is>
      </c>
      <c r="C139" s="2" t="inlineStr"/>
      <c r="D139" s="2" t="n">
        <v>7454720</v>
      </c>
      <c r="E139" s="2" t="n">
        <v>6656000</v>
      </c>
      <c r="F139" s="2" t="inlineStr">
        <is>
          <t>Dell</t>
        </is>
      </c>
      <c r="G139" s="2">
        <f>HYPERLINK("https://itrix.uz/product/152", "🔗 Купить продукт")</f>
        <v/>
      </c>
    </row>
    <row r="140" ht="30" customHeight="1">
      <c r="A140" s="5" t="inlineStr">
        <is>
          <t>Аксессуары</t>
        </is>
      </c>
      <c r="B140" s="5" t="inlineStr">
        <is>
          <t>Сетевая карта HPE 544+QSFP 10/40G 2-port PCIe</t>
        </is>
      </c>
      <c r="C140" s="2" t="inlineStr"/>
      <c r="D140" s="2" t="n">
        <v>4207840</v>
      </c>
      <c r="E140" s="2" t="n">
        <v>3757000</v>
      </c>
      <c r="F140" s="2" t="inlineStr">
        <is>
          <t>HPE</t>
        </is>
      </c>
      <c r="G140" s="2">
        <f>HYPERLINK("https://itrix.uz/product/99", "🔗 Купить продукт")</f>
        <v/>
      </c>
    </row>
    <row r="141" ht="30" customHeight="1">
      <c r="A141" s="5" t="inlineStr">
        <is>
          <t>Аксессуары</t>
        </is>
      </c>
      <c r="B141" s="5" t="inlineStr">
        <is>
          <t>Радиатор ЦП Dell R750 High Performance CPU Heatsink</t>
        </is>
      </c>
      <c r="C141" s="2" t="inlineStr"/>
      <c r="D141" s="2" t="n">
        <v>1397760</v>
      </c>
      <c r="E141" s="2" t="n">
        <v>1248000</v>
      </c>
      <c r="F141" s="2" t="inlineStr">
        <is>
          <t>Dell</t>
        </is>
      </c>
      <c r="G141" s="2">
        <f>HYPERLINK("https://itrix.uz/product/100", "🔗 Купить продукт")</f>
        <v/>
      </c>
    </row>
    <row r="142" ht="30" customHeight="1">
      <c r="A142" s="5" t="inlineStr">
        <is>
          <t>Процессоры</t>
        </is>
      </c>
      <c r="B142" s="5" t="inlineStr">
        <is>
          <t>Intel Xeon-Gold 6234 (3.3GHz/8-core/130W)</t>
        </is>
      </c>
      <c r="C142" s="2" t="inlineStr"/>
      <c r="D142" s="2" t="n">
        <v>5518240</v>
      </c>
      <c r="E142" s="2" t="n">
        <v>4927000</v>
      </c>
      <c r="F142" s="2" t="inlineStr">
        <is>
          <t>Intel</t>
        </is>
      </c>
      <c r="G142" s="2">
        <f>HYPERLINK("https://itrix.uz/product/352", "🔗 Купить продукт")</f>
        <v/>
      </c>
    </row>
    <row r="143" ht="30" customHeight="1">
      <c r="A143" s="5" t="inlineStr">
        <is>
          <t>Процессоры</t>
        </is>
      </c>
      <c r="B143" s="5" t="inlineStr">
        <is>
          <t>Intel Xeon-Gold 5218 (2.3GHz/16-core/125W)</t>
        </is>
      </c>
      <c r="C143" s="2" t="inlineStr"/>
      <c r="D143" s="2" t="n">
        <v>10890880</v>
      </c>
      <c r="E143" s="2" t="n">
        <v>9724000</v>
      </c>
      <c r="F143" s="2" t="inlineStr">
        <is>
          <t>Intel</t>
        </is>
      </c>
      <c r="G143" s="2">
        <f>HYPERLINK("https://itrix.uz/product/343", "🔗 Купить продукт")</f>
        <v/>
      </c>
    </row>
    <row r="144" ht="30" customHeight="1">
      <c r="A144" s="5" t="inlineStr">
        <is>
          <t>Блоки питания</t>
        </is>
      </c>
      <c r="B144" s="5" t="inlineStr">
        <is>
          <t>Блок питания DELL Power Supply (1 PSU) 1100W Hot Plug, Mixed Mode, Kit for G15</t>
        </is>
      </c>
      <c r="C144" s="2" t="inlineStr"/>
      <c r="D144" s="2" t="n">
        <v>3276000</v>
      </c>
      <c r="E144" s="2" t="n">
        <v>2925000</v>
      </c>
      <c r="F144" s="2" t="inlineStr">
        <is>
          <t>Dell</t>
        </is>
      </c>
      <c r="G144" s="2">
        <f>HYPERLINK("https://itrix.uz/product/158", "🔗 Купить продукт")</f>
        <v/>
      </c>
    </row>
    <row r="145" ht="30" customHeight="1">
      <c r="A145" s="5" t="inlineStr">
        <is>
          <t>Процессоры</t>
        </is>
      </c>
      <c r="B145" s="5" t="inlineStr">
        <is>
          <t>Intel Xeon Silver 4314 (2.4GHz/16-core/135W)</t>
        </is>
      </c>
      <c r="C145" s="2" t="inlineStr"/>
      <c r="D145" s="2" t="n">
        <v>10512320</v>
      </c>
      <c r="E145" s="2" t="n">
        <v>9386000</v>
      </c>
      <c r="F145" s="2" t="inlineStr">
        <is>
          <t>Intel</t>
        </is>
      </c>
      <c r="G145" s="2">
        <f>HYPERLINK("https://itrix.uz/product/341", "🔗 Купить продукт")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2025-05-06T08:47:39Z</dcterms:created>
  <dcterms:modified xsi:type="dcterms:W3CDTF">2025-05-06T08:47:40Z</dcterms:modified>
</cp:coreProperties>
</file>