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erverlar" sheetId="1" state="visible" r:id="rId1"/>
    <sheet name="Tarkibiy qismlar" sheetId="2" state="visible" r:id="rId2"/>
    <sheet name="Tarmoq qurilmalari" sheetId="3" state="visible" r:id="rId3"/>
    <sheet name="Routerlar" sheetId="4" state="visible" r:id="rId4"/>
    <sheet name="WiFi ulanish nuqtalari" sheetId="5" state="visible" r:id="rId5"/>
    <sheet name="Optik tarmoq yechimlari" sheetId="6" state="visible" r:id="rId6"/>
    <sheet name="IP uskunalari" sheetId="7" state="visible" r:id="rId7"/>
    <sheet name="Faervollar" sheetId="8" state="visible" r:id="rId8"/>
    <sheet name="Xizmatlar" sheetId="9" state="visible" r:id="rId9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 &quot;UZS&quot;"/>
  </numFmts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0" borderId="1" applyAlignment="1" pivotButton="0" quotePrefix="0" xfId="0">
      <alignment horizontal="center" vertical="center" wrapText="1"/>
    </xf>
    <xf numFmtId="164" fontId="1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top"/>
    </xf>
    <xf numFmtId="0" fontId="0" fillId="0" borderId="0" applyAlignment="1" pivotButton="0" quotePrefix="0" xfId="0">
      <alignment vertical="center" wrapText="1"/>
    </xf>
    <xf numFmtId="164" fontId="0" fillId="0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styles" Target="styles.xml" Id="rId10" /><Relationship Type="http://schemas.openxmlformats.org/officeDocument/2006/relationships/theme" Target="theme/theme1.xml" Id="rId11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rgb="00A41018"/>
    <outlinePr summaryBelow="1" summaryRight="1"/>
    <pageSetUpPr/>
  </sheetPr>
  <dimension ref="A1:I21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Brend</t>
        </is>
      </c>
      <c r="G1" s="2" t="inlineStr">
        <is>
          <t>Saytda</t>
        </is>
      </c>
      <c r="H1" s="2" t="inlineStr">
        <is>
          <t>SKU</t>
        </is>
      </c>
      <c r="I1" s="3" t="inlineStr">
        <is>
          <t>5 dona dan</t>
        </is>
      </c>
    </row>
    <row r="2">
      <c r="A2" s="4" t="inlineStr">
        <is>
          <t>Fayl server</t>
        </is>
      </c>
      <c r="B2" s="4" t="inlineStr">
        <is>
          <t xml:space="preserve"> Fayl serveri Dell EMC PowerEdge R760xs Rack 2U 16 SFF HDD/SSD + 8 SFF NVMe U.2 | Dell EMC PowerEdge R760xs Rack 2U 16 SFF HDD/SSD + 8 SFF NVMe U.2 (R760xs-xxx-IT4) | Intel Xeon Silver 4316 (2.3GHz/20-core/150W) | Samsung 64GB DDR4-3200 operativ xotira | DELL PERC H755N 8Gb RAID NVMe apparat RAID nazoratchisi | 1.6TB PCI-e NVMe Mix Use Express Flash xotira qurilmasi | DELL 1.92TB / SATA / RI / SSD | DELL 800W G15 Hot-Plug quvvat bloki</t>
        </is>
      </c>
      <c r="C2" s="5" t="inlineStr">
        <is>
          <t>Kafolat 36 oy</t>
        </is>
      </c>
      <c r="D2" s="5" t="n">
        <v>281891232</v>
      </c>
      <c r="E2" s="5" t="n">
        <v>251688600</v>
      </c>
      <c r="F2" s="5" t="inlineStr">
        <is>
          <t>Dell</t>
        </is>
      </c>
      <c r="G2" s="5">
        <f>HYPERLINK("https://itrix.uz/configuration/396", "🔗 Mahsulot sotib olish")</f>
        <v/>
      </c>
      <c r="H2" s="5" t="inlineStr">
        <is>
          <t>1-396-0</t>
        </is>
      </c>
      <c r="I2" t="inlineStr"/>
    </row>
    <row r="3">
      <c r="A3" s="4" t="inlineStr">
        <is>
          <t>Virtualizaciya server</t>
        </is>
      </c>
      <c r="B3" s="4" t="inlineStr">
        <is>
          <t>Virtualizatsiya uchun server HPE ProLiant DL360 Gen10 | HPE ProLiant DL360 Gen10 Rack 1U 8 SFF (P40400-B21) | Intel Xeon-Silver 4210R (2.4GHz/10-core/100W) | Samsung 64GB DDR4-2666 LRDIMM operativ xotira | HPE P408e-p SR (Tashqi) 4GB kesh 12G SAS PCIe (96W batareya bilan) tashqi apparat RAID nazoratchisi | HPE 240GB / SATA / RI / SSD | 1.6TB PCI-e NVMe Mix Use Express Flash xotira qurilmasi | HPE 800W Flex Slot Platinum Hot Plug quvvat bloki</t>
        </is>
      </c>
      <c r="C3" s="5" t="inlineStr">
        <is>
          <t>Kafolat 36 oy</t>
        </is>
      </c>
      <c r="D3" s="5" t="n">
        <v>111487712</v>
      </c>
      <c r="E3" s="5" t="n">
        <v>99542600</v>
      </c>
      <c r="F3" s="5" t="inlineStr">
        <is>
          <t>HPE</t>
        </is>
      </c>
      <c r="G3" s="5">
        <f>HYPERLINK("https://itrix.uz/configuration/397", "🔗 Mahsulot sotib olish")</f>
        <v/>
      </c>
      <c r="H3" s="5" t="inlineStr">
        <is>
          <t>1-397-0</t>
        </is>
      </c>
      <c r="I3" t="inlineStr"/>
    </row>
    <row r="4">
      <c r="A4" s="4" t="inlineStr">
        <is>
          <t>Virtualizaciya server</t>
        </is>
      </c>
      <c r="B4" s="4" t="inlineStr">
        <is>
          <t>Virtualizatsiya uchun server HPE ProLiant DL380 Gen10 | HPE ProLiant DL380 Gen10 Rack 2U 8 SFF (P02466-B21) | Intel Xeon Gold 5317 (3.0GHz/12-core/150W) | HPE 64GB DDR4-3200 operativ xotira | HPE P408i-a SR (Ichki) 2GB kesh 12G SAS PCIe (96W batareya bilan) apparat RAID nazoratchisi | HPE 960GB SATA RI SSD xotira qurilmasi | HPE 800W Flex Slot Platinum Hot Plug quvvat bloki</t>
        </is>
      </c>
      <c r="C4" s="5" t="inlineStr">
        <is>
          <t>Kafolat 36 oy</t>
        </is>
      </c>
      <c r="D4" s="5" t="n">
        <v>120335040</v>
      </c>
      <c r="E4" s="5" t="n">
        <v>107442000</v>
      </c>
      <c r="F4" s="5" t="inlineStr">
        <is>
          <t>HPE</t>
        </is>
      </c>
      <c r="G4" s="5">
        <f>HYPERLINK("https://itrix.uz/configuration/398", "🔗 Mahsulot sotib olish")</f>
        <v/>
      </c>
      <c r="H4" s="5" t="inlineStr">
        <is>
          <t>1-398-0</t>
        </is>
      </c>
      <c r="I4" t="inlineStr"/>
    </row>
    <row r="5">
      <c r="A5" s="4" t="inlineStr">
        <is>
          <t>Virtualizaciya server</t>
        </is>
      </c>
      <c r="B5" s="4" t="inlineStr">
        <is>
          <t>Virtualizatsiya uchun server Dell EMC PowerEdge R550 Rack 2U 8 LFF | Dell EMC PowerEdge R550 Rack 2U 8 LFF | Intel Xeon-Silver 4210R (2.4GHz/10-core/100W) | DELL 800W G15 Hot-Plug quvvat bloki | DELL PERC H745 4Gb RAID 12Gb/s apparat RAID nazoratchisi | Samsung 32GB DDR4-3200 UDIMM operativ xotira | DELL 1.92TB / SATA / RI / SSD</t>
        </is>
      </c>
      <c r="C5" s="5" t="inlineStr">
        <is>
          <t>Kafolat 36 oy</t>
        </is>
      </c>
      <c r="D5" s="5" t="n">
        <v>173675040</v>
      </c>
      <c r="E5" s="5" t="n">
        <v>155067000</v>
      </c>
      <c r="F5" s="5" t="inlineStr">
        <is>
          <t>Dell</t>
        </is>
      </c>
      <c r="G5" s="5">
        <f>HYPERLINK("https://itrix.uz/configuration/399", "🔗 Mahsulot sotib olish")</f>
        <v/>
      </c>
      <c r="H5" s="5" t="inlineStr">
        <is>
          <t>1-399-0</t>
        </is>
      </c>
      <c r="I5" t="inlineStr"/>
    </row>
    <row r="6">
      <c r="A6" s="4" t="inlineStr">
        <is>
          <t>Ma'lumotlar bazasi server</t>
        </is>
      </c>
      <c r="B6" s="4" t="inlineStr">
        <is>
          <t>Ma'lumotlar bazasi uchun server Dell EMC PowerEdge R750 Rack 2U 16 SFF | Dell EMC PowerEdge R750 Rack 2U 16 SFF (210-AYCG-125-000) | Intel Xeon Gold 6342 (2.8GHz/24-core/230W) | Samsung 64GB DDR4-3200 operativ xotira | 3.2TB PCI-e NVMe Express Flash xotira qurilmasi | Intel 2TB DC P4510 Series / NVMe / RI / SAS / SSD | DELL PERC H755N 8Gb RAID NVMe apparat RAID nazoratchisi | DELL 800W G15 Hot-Plug quvvat bloki</t>
        </is>
      </c>
      <c r="C6" s="5" t="inlineStr">
        <is>
          <t>Kafolat 36 oy</t>
        </is>
      </c>
      <c r="D6" s="5" t="n">
        <v>222250000</v>
      </c>
      <c r="E6" s="5" t="n">
        <v>198437500</v>
      </c>
      <c r="F6" s="5" t="inlineStr">
        <is>
          <t>Dell</t>
        </is>
      </c>
      <c r="G6" s="5">
        <f>HYPERLINK("https://itrix.uz/configuration/400", "🔗 Mahsulot sotib olish")</f>
        <v/>
      </c>
      <c r="H6" s="5" t="inlineStr">
        <is>
          <t>1-400-0</t>
        </is>
      </c>
      <c r="I6" t="inlineStr"/>
    </row>
    <row r="7">
      <c r="A7" s="4" t="inlineStr">
        <is>
          <t>Ma'lumotlar bazasi server</t>
        </is>
      </c>
      <c r="B7" s="4" t="inlineStr">
        <is>
          <t>Ma'lumotlar bazasi uchun server HPE ProLiant DL380 Gen10 | HPE ProLiant DL380 Gen10 Rack 2U 8 SFF (P02466-B21) | Intel Xeon Gold 6338 (2GHz/32-core/205W) | HPE 64GB DDR4-3200 operativ xotira | Intel 480GB S4510 / RI / SATA / SSD | 1.6TB PCI-e NVMe Mix Use Express Flash xotira qurilmasi | HPE P816i-a SR (Ichki) 4GB kesh 12G SAS PCIe (96W batareya bilan) ichki apparat RAID nazoratchisi | HPE G10 Plus 1600W Flex Slot Platinum Hot Plug Low Halogen Power Supply</t>
        </is>
      </c>
      <c r="C7" s="5" t="inlineStr">
        <is>
          <t>Kafolat 36 oy</t>
        </is>
      </c>
      <c r="D7" s="5" t="n">
        <v>200160128</v>
      </c>
      <c r="E7" s="5" t="n">
        <v>178714400</v>
      </c>
      <c r="F7" s="5" t="inlineStr">
        <is>
          <t>HPE</t>
        </is>
      </c>
      <c r="G7" s="5">
        <f>HYPERLINK("https://itrix.uz/configuration/401", "🔗 Mahsulot sotib olish")</f>
        <v/>
      </c>
      <c r="H7" s="5" t="inlineStr">
        <is>
          <t>1-401-0</t>
        </is>
      </c>
      <c r="I7" t="inlineStr"/>
    </row>
    <row r="8">
      <c r="A8" s="4" t="inlineStr">
        <is>
          <t>1C server</t>
        </is>
      </c>
      <c r="B8" s="4" t="inlineStr">
        <is>
          <t>1C uchun server HPE DL360 Gen10 Plus 8SFF Rack 1U | HPE ProLiant DL360 Gen10 Plus Rack 1U 8 SFF (P55274-421) | Intel Xeon Silver 4316 (2.3GHz/20-core/150W) | HPE 32GB DDR4-2666 operativ xotira | HPE P408i-a SR (Ichki) 2GB kesh 12G SAS PCIe (96W batareya bilan) apparat RAID nazoratchisi | HPE 800W Flex Slot Platinum Hot Plug quvvat bloki</t>
        </is>
      </c>
      <c r="C8" s="5" t="inlineStr">
        <is>
          <t>Kafolat 36 oy</t>
        </is>
      </c>
      <c r="D8" s="5" t="n">
        <v>83551776</v>
      </c>
      <c r="E8" s="5" t="n">
        <v>74599800</v>
      </c>
      <c r="F8" s="5" t="inlineStr">
        <is>
          <t>HPE</t>
        </is>
      </c>
      <c r="G8" s="5">
        <f>HYPERLINK("https://itrix.uz/configuration/385", "🔗 Mahsulot sotib olish")</f>
        <v/>
      </c>
      <c r="H8" s="5" t="inlineStr">
        <is>
          <t>1-385-0</t>
        </is>
      </c>
      <c r="I8" t="inlineStr"/>
    </row>
    <row r="9">
      <c r="A9" s="4" t="inlineStr">
        <is>
          <t>Ofis server</t>
        </is>
      </c>
      <c r="B9" s="4" t="inlineStr">
        <is>
          <t>Server ofis uchun HPE ProLiant DL380 Gen10 Rack 2U 8 SFF | HPE ProLiant DL380 Gen10 Rack 2U 8 SFF (P02466-B21) | Intel Xeon-Gold 6250 (3.9GHz/8-core/185W) | HPE 32GB DDR4-2933 operativ xotira | HPE 1.92TB / SATA / RI / SSD | HPE 800W Flex Slot Platinum Hot Plug quvvat bloki | HPE P408e-p SR (Tashqi) 4GB kesh 12G SAS PCIe (96W batareya bilan) tashqi apparat RAID nazoratchisi</t>
        </is>
      </c>
      <c r="C9" s="5" t="inlineStr">
        <is>
          <t>Kafolat 36 oy</t>
        </is>
      </c>
      <c r="D9" s="5" t="n">
        <v>168113456</v>
      </c>
      <c r="E9" s="5" t="n">
        <v>150101300</v>
      </c>
      <c r="F9" s="5" t="inlineStr">
        <is>
          <t>HPE</t>
        </is>
      </c>
      <c r="G9" s="5">
        <f>HYPERLINK("https://itrix.uz/configuration/389", "🔗 Mahsulot sotib olish")</f>
        <v/>
      </c>
      <c r="H9" s="5" t="inlineStr">
        <is>
          <t>1-389-0</t>
        </is>
      </c>
      <c r="I9" t="inlineStr"/>
    </row>
    <row r="10">
      <c r="A10" s="4" t="inlineStr">
        <is>
          <t>Video Server</t>
        </is>
      </c>
      <c r="B10" s="4" t="inlineStr">
        <is>
          <t>Kameralar uchun server HPE ProLiant DL380 Gen10 | HPE ProLiant DL380 Gen10 Rack 2U 8 SFF (P02466-B21) | Intel Xeon-Silver 4210R (2.4GHz/10-core/100W) | HPE 64GB DDR4-3200 operativ xotira | Intel 480GB S4510 / RI / SATA / SSD | HPE 16TB SAS 7200 rpm (3.5", LFF) qattiq diski | HPE ML110/ML350 Gen10 4LFF Drive Backplane Cage Kit diskli qutisi | HPE P816i-a SR (Ichki) 4GB kesh 12G SAS PCIe (96W batareya bilan) ichki apparat RAID nazoratchisi | HPE G10 Plus 1600W Flex Slot Platinum Hot Plug Low Halogen Power Supply</t>
        </is>
      </c>
      <c r="C10" s="5" t="inlineStr">
        <is>
          <t>Kafolat 36 oy</t>
        </is>
      </c>
      <c r="D10" s="5" t="n">
        <v>106310176</v>
      </c>
      <c r="E10" s="5" t="n">
        <v>94919800</v>
      </c>
      <c r="F10" s="5" t="inlineStr">
        <is>
          <t>HPE</t>
        </is>
      </c>
      <c r="G10" s="5">
        <f>HYPERLINK("https://itrix.uz/configuration/402", "🔗 Mahsulot sotib olish")</f>
        <v/>
      </c>
      <c r="H10" s="5" t="inlineStr">
        <is>
          <t>1-402-0</t>
        </is>
      </c>
      <c r="I10" t="inlineStr"/>
    </row>
    <row r="11">
      <c r="A11" s="4" t="inlineStr">
        <is>
          <t>Ofis server</t>
        </is>
      </c>
      <c r="B11" s="4" t="inlineStr">
        <is>
          <t>Server ofis uchun HPE ProLiant DL380 Gen10 Plus Rack 2U 8 SFF | HPE ProLiant DL380 Gen10 Plus Rack 2U 8 SFF (P55281-421) | Intel Xeon Gold 6338 (2GHz/32-core/205W) | HPE 64GB DDR4-3200 operativ xotira | HPE P408e-p SR (Tashqi) 4GB kesh 12G SAS PCIe (96W batareya bilan) tashqi apparat RAID nazoratchisi | HPE 3.84TB NVMe RI SAS SSD | HPE 800W Flex Slot Platinum Hot Plug quvvat bloki</t>
        </is>
      </c>
      <c r="C11" s="5" t="inlineStr">
        <is>
          <t>Kafolat 36 oy</t>
        </is>
      </c>
      <c r="D11" s="5" t="n">
        <v>326127872</v>
      </c>
      <c r="E11" s="5" t="n">
        <v>291185600</v>
      </c>
      <c r="F11" s="5" t="inlineStr">
        <is>
          <t>HPE</t>
        </is>
      </c>
      <c r="G11" s="5">
        <f>HYPERLINK("https://itrix.uz/configuration/390", "🔗 Mahsulot sotib olish")</f>
        <v/>
      </c>
      <c r="H11" s="5" t="inlineStr">
        <is>
          <t>1-390-0</t>
        </is>
      </c>
      <c r="I11" t="inlineStr"/>
    </row>
    <row r="12">
      <c r="A12" s="4" t="inlineStr">
        <is>
          <t>Ofis server</t>
        </is>
      </c>
      <c r="B12" s="4" t="inlineStr">
        <is>
          <t>Server ofis uchun HPE ProLiant DL380 Gen10 Plus Rack 2U 8 SFF | Intel Xeon Gold 6338 (2GHz/32-core/205W) | HPE 64GB DDR4-3200 operativ xotira | HPE P408e-p SR (Tashqi) 4GB kesh 12G SAS PCIe (96W batareya bilan) tashqi apparat RAID nazoratchisi | DELL 3.84TB / SAS / RI / SSD | HPE 800W Flex Slot Platinum Hot Plug quvvat bloki | HPE ProLiant DL380 Gen10 Plus Rack 2U 8 SFF (P55281-421)</t>
        </is>
      </c>
      <c r="C12" s="5" t="inlineStr">
        <is>
          <t>Kafolat 36 oy</t>
        </is>
      </c>
      <c r="D12" s="5" t="n">
        <v>294550592</v>
      </c>
      <c r="E12" s="5" t="n">
        <v>262991600</v>
      </c>
      <c r="F12" s="5" t="inlineStr">
        <is>
          <t>HPE</t>
        </is>
      </c>
      <c r="G12" s="5">
        <f>HYPERLINK("https://itrix.uz/configuration/391", "🔗 Mahsulot sotib olish")</f>
        <v/>
      </c>
      <c r="H12" s="5" t="inlineStr">
        <is>
          <t>1-391-0</t>
        </is>
      </c>
      <c r="I12" t="inlineStr"/>
    </row>
    <row r="13">
      <c r="A13" s="4" t="inlineStr">
        <is>
          <t>Ofis server</t>
        </is>
      </c>
      <c r="B13" s="4" t="inlineStr">
        <is>
          <t>Ofis uchun server HPE ProLiant DL380 Gen10 Plus Rack 2U 8 SFF | Intel Xeon Silver 4310 (2.1GHz/12-Core/120W) | Samsung 64GB DDR4-3200 operativ xotira | HPE P408e-p SR (Tashqi) 4GB kesh 12G SAS PCIe (96W batareya bilan) tashqi apparat RAID nazoratchisi | HPE 1.92TB / SATA / RI / SSD | HPE 2.4TB SAS 10000 rpm (2.5", SFF) qattiq diski | HPE 800W Flex Slot Platinum Hot Plug quvvat bloki | HPE ProLiant DL380 Gen10 Plus Rack 2U 8 SFF (P55281-421)</t>
        </is>
      </c>
      <c r="C13" s="5" t="inlineStr">
        <is>
          <t>Kafolat 36 oy</t>
        </is>
      </c>
      <c r="D13" s="5" t="n">
        <v>115612672</v>
      </c>
      <c r="E13" s="5" t="n">
        <v>103225600</v>
      </c>
      <c r="F13" s="5" t="inlineStr">
        <is>
          <t>HPE</t>
        </is>
      </c>
      <c r="G13" s="5">
        <f>HYPERLINK("https://itrix.uz/configuration/392", "🔗 Mahsulot sotib olish")</f>
        <v/>
      </c>
      <c r="H13" s="5" t="inlineStr">
        <is>
          <t>1-392-0</t>
        </is>
      </c>
      <c r="I13" t="inlineStr"/>
    </row>
    <row r="14">
      <c r="A14" s="4" t="inlineStr">
        <is>
          <t>Fayl server</t>
        </is>
      </c>
      <c r="B14" s="4" t="inlineStr">
        <is>
          <t xml:space="preserve"> HPE DL360 Gen9, fayl serveri, Rack 1U, 8 SFF, Intel Xeon, ma’lumot saqlash, ITRIX | HPE ProLiant DL360 Gen9 Rack 1U 8 SFF (848736-B21) | Intel Xeon Silver 4310 (2.1GHz/12-Core/120W) | Samsung 64GB DDR4-2666 LRDIMM operativ xotira | HPE P408e-p SR (Tashqi) 4GB kesh 12G SAS PCIe (96W batareya bilan) tashqi apparat RAID nazoratchisi | HPE 960GB SATA RI SSD xotira qurilmasi | HPE 800W Flex Slot Platinum Hot Plug quvvat bloki</t>
        </is>
      </c>
      <c r="C14" s="5" t="inlineStr">
        <is>
          <t>Kafolat 36 oy</t>
        </is>
      </c>
      <c r="D14" s="5" t="n">
        <v>76325984</v>
      </c>
      <c r="E14" s="5" t="n">
        <v>68148200</v>
      </c>
      <c r="F14" s="5" t="inlineStr">
        <is>
          <t>HPE</t>
        </is>
      </c>
      <c r="G14" s="5">
        <f>HYPERLINK("https://itrix.uz/configuration/394", "🔗 Mahsulot sotib olish")</f>
        <v/>
      </c>
      <c r="H14" s="5" t="inlineStr">
        <is>
          <t>1-394-0</t>
        </is>
      </c>
      <c r="I14" t="inlineStr"/>
    </row>
    <row r="15">
      <c r="A15" s="4" t="inlineStr">
        <is>
          <t>1C server</t>
        </is>
      </c>
      <c r="B15" s="4" t="inlineStr">
        <is>
          <t xml:space="preserve"> 1C uchun server HPE DL380 Gen10 Plus 8SFF | Intel Xeon Silver 4314 (2.4GHz/16-core/135W) | HPE 32GB DDR4-3200 operativ xotira | HPE P408i-a SR (Ichki) 2GB kesh 12G SAS PCIe (96W batareya bilan) apparat RAID nazoratchisi | HPE ProLiant DL380 Gen10 Plus Rack 2U 8 SFF (P55281-421) | HPE 800W Flex Slot Platinum Hot Plug quvvat bloki</t>
        </is>
      </c>
      <c r="C15" s="5" t="inlineStr">
        <is>
          <t>Kafolat 36 oy</t>
        </is>
      </c>
      <c r="D15" s="5" t="n">
        <v>67051936</v>
      </c>
      <c r="E15" s="5" t="n">
        <v>59867800</v>
      </c>
      <c r="F15" s="5" t="inlineStr">
        <is>
          <t>HPE</t>
        </is>
      </c>
      <c r="G15" s="5">
        <f>HYPERLINK("https://itrix.uz/configuration/370", "🔗 Mahsulot sotib olish")</f>
        <v/>
      </c>
      <c r="H15" s="5" t="inlineStr">
        <is>
          <t>1-370-0</t>
        </is>
      </c>
      <c r="I15" t="inlineStr"/>
    </row>
    <row r="16">
      <c r="A16" s="4" t="inlineStr">
        <is>
          <t>1C server</t>
        </is>
      </c>
      <c r="B16" s="4" t="inlineStr">
        <is>
          <t>Server 1C uchun DELL R550 8SFF Rack 2U | Intel Xeon Gold 6326 (2.9GHz/16-core/185W) | Samsung / SK hynix 16GB DDR4-2933 operativ xotira | DELL 800W G15 Hot-Plug quvvat bloki | Dell EMC PowerEdge R550 Rack 2U 8 LFF | DELL PERC H745 4Gb RAID 12Gb/s apparat RAID nazoratchisi</t>
        </is>
      </c>
      <c r="C16" s="5" t="inlineStr">
        <is>
          <t>Kafolat 36 oy</t>
        </is>
      </c>
      <c r="D16" s="5" t="n">
        <v>66226944</v>
      </c>
      <c r="E16" s="5" t="n">
        <v>59131200</v>
      </c>
      <c r="F16" s="5" t="inlineStr">
        <is>
          <t>Dell</t>
        </is>
      </c>
      <c r="G16" s="5">
        <f>HYPERLINK("https://itrix.uz/configuration/386", "🔗 Mahsulot sotib olish")</f>
        <v/>
      </c>
      <c r="H16" s="5" t="inlineStr">
        <is>
          <t>1-386-0</t>
        </is>
      </c>
      <c r="I16" t="inlineStr"/>
    </row>
    <row r="17" ht="30" customHeight="1">
      <c r="A17" s="4" t="inlineStr">
        <is>
          <t>Video Server</t>
        </is>
      </c>
      <c r="B17" s="4" t="inlineStr">
        <is>
          <t>Ubiquiti UniFi Cloud Key Gen2 Plus</t>
        </is>
      </c>
      <c r="C17" s="5" t="inlineStr"/>
      <c r="D17" s="5" t="n">
        <v>4390380</v>
      </c>
      <c r="E17" s="5" t="n">
        <v>3919982</v>
      </c>
      <c r="F17" s="5" t="inlineStr"/>
      <c r="G17" s="5">
        <f>HYPERLINK("https://itrix.uz/product/599", "🔗 Mahsulot sotib olish")</f>
        <v/>
      </c>
      <c r="H17" s="5" t="inlineStr">
        <is>
          <t>1-599-554</t>
        </is>
      </c>
      <c r="I17" t="n">
        <v>3532505</v>
      </c>
    </row>
    <row r="18">
      <c r="A18" s="4" t="inlineStr">
        <is>
          <t>1C server</t>
        </is>
      </c>
      <c r="B18" s="4" t="inlineStr">
        <is>
          <t>Server 1C uchun Dell EMC PowerEdge R550 Rack 2U 8 LFF | Dell EMC PowerEdge R550 Rack 2U 8 LFF | Intel Xeon-Silver 4214 (2.2GHz/12-core/85W) | Samsung 32GB DDR4-2133 operativ xotira | DELL 960GB SAS RI SSD xotira qurilmasi | DELL 800W G15 Hot-Plug quvvat bloki</t>
        </is>
      </c>
      <c r="C18" s="5" t="inlineStr">
        <is>
          <t>Kafolat 36 oy</t>
        </is>
      </c>
      <c r="D18" s="5" t="n">
        <v>50011584</v>
      </c>
      <c r="E18" s="5" t="n">
        <v>44653200</v>
      </c>
      <c r="F18" s="5" t="inlineStr">
        <is>
          <t>Dell</t>
        </is>
      </c>
      <c r="G18" s="5">
        <f>HYPERLINK("https://itrix.uz/configuration/388", "🔗 Mahsulot sotib olish")</f>
        <v/>
      </c>
      <c r="H18" s="5" t="inlineStr">
        <is>
          <t>1-388-0</t>
        </is>
      </c>
      <c r="I18" t="inlineStr"/>
    </row>
    <row r="19">
      <c r="A19" s="4" t="inlineStr">
        <is>
          <t>Ofis server</t>
        </is>
      </c>
      <c r="B19" s="4" t="inlineStr">
        <is>
          <t>Server ofis uchun HPE ProLiant DL360 Gen9 Rack 1U 8 SFF | HPE ProLiant DL360 Gen9 Rack 1U 8 SFF (848736-B21) | Intel Xeon Silver 4310 (2.1GHz/12-Core/120W) | HPE 32GB DDR4-3200 operativ xotira | HPE 240GB / SATA / RI / SSD | HPE P408e-p SR (Tashqi) 4GB kesh 12G SAS PCIe (96W batareya bilan) tashqi apparat RAID nazoratchisi | HPE 800W Flex Slot Platinum Hot Plug quvvat bloki</t>
        </is>
      </c>
      <c r="C19" s="5" t="inlineStr">
        <is>
          <t>Kafolat 36 oy</t>
        </is>
      </c>
      <c r="D19" s="5" t="n">
        <v>42728896</v>
      </c>
      <c r="E19" s="5" t="n">
        <v>38150800</v>
      </c>
      <c r="F19" s="5" t="inlineStr">
        <is>
          <t>HPE</t>
        </is>
      </c>
      <c r="G19" s="5">
        <f>HYPERLINK("https://itrix.uz/configuration/393", "🔗 Mahsulot sotib olish")</f>
        <v/>
      </c>
      <c r="H19" s="5" t="inlineStr">
        <is>
          <t>1-393-0</t>
        </is>
      </c>
      <c r="I19" t="inlineStr"/>
    </row>
    <row r="20">
      <c r="A20" s="4" t="inlineStr">
        <is>
          <t>Fayl server</t>
        </is>
      </c>
      <c r="B20" s="4" t="inlineStr">
        <is>
          <t xml:space="preserve"> Fayl serveri HPE ProLiant DL380 Gen10 Rack 2U 8 SFF | HPE ProLiant DL380 Gen10 Rack 2U 8 SFF (P02466-B21) | Intel Xeon-Silver 4214 (2.2GHz/12-core/85W) | HPE 64GB DDR4-3200 operativ xotira | HPE P408e-p SR (Tashqi) 4GB kesh 12G SAS PCIe (96W batareya bilan) tashqi apparat RAID nazoratchisi | HPE 960GB SATA RI SSD xotira qurilmasi | HPE 800W Flex Slot Platinum Hot Plug quvvat bloki</t>
        </is>
      </c>
      <c r="C20" s="5" t="inlineStr">
        <is>
          <t>Kafolat 36 oy</t>
        </is>
      </c>
      <c r="D20" s="5" t="n">
        <v>102526592</v>
      </c>
      <c r="E20" s="5" t="n">
        <v>91541600</v>
      </c>
      <c r="F20" s="5" t="inlineStr">
        <is>
          <t>HPE</t>
        </is>
      </c>
      <c r="G20" s="5">
        <f>HYPERLINK("https://itrix.uz/configuration/395", "🔗 Mahsulot sotib olish")</f>
        <v/>
      </c>
      <c r="H20" s="5" t="inlineStr">
        <is>
          <t>1-395-0</t>
        </is>
      </c>
      <c r="I20" t="inlineStr"/>
    </row>
    <row r="21">
      <c r="A21" s="4" t="inlineStr">
        <is>
          <t>Video Server</t>
        </is>
      </c>
      <c r="B21" s="4" t="inlineStr">
        <is>
          <t>Kameralar uchun server Dell EMC PowerEdge R750XS Rack 2U 8 LFF | Dell EMC PowerEdge R750XS Rack 2U 8 LFF (210-AZYQ-056-000) | Intel Xeon Silver 4310 (2.1GHz/12-Core/120W) | Samsung 64GB DDR4-3200 operativ xotira | Intel 480GB S4510 / RI / SATA / SSD | DELL 12TB SAS 7200 rpm (3.5", LFF) qattiq diski | DELL PERC H755 8Gb RAID apparat RAID nazoratchisi | DELL 800W G15 Hot-Plug quvvat bloki</t>
        </is>
      </c>
      <c r="C21" s="5" t="inlineStr">
        <is>
          <t>Kafolat 36 oy</t>
        </is>
      </c>
      <c r="D21" s="5" t="n">
        <v>97548192</v>
      </c>
      <c r="E21" s="5" t="n">
        <v>87096600</v>
      </c>
      <c r="F21" s="5" t="inlineStr">
        <is>
          <t>Dell</t>
        </is>
      </c>
      <c r="G21" s="5">
        <f>HYPERLINK("https://itrix.uz/configuration/403", "🔗 Mahsulot sotib olish")</f>
        <v/>
      </c>
      <c r="H21" s="5" t="inlineStr">
        <is>
          <t>1-403-0</t>
        </is>
      </c>
      <c r="I21" t="inlineStr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tabColor rgb="00D4778F"/>
    <outlinePr summaryBelow="1" summaryRight="1"/>
    <pageSetUpPr/>
  </sheetPr>
  <dimension ref="A1:I208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 ht="30" customHeight="1">
      <c r="A2" s="4" t="inlineStr">
        <is>
          <t>RAID-kontroller</t>
        </is>
      </c>
      <c r="B2" s="4" t="inlineStr">
        <is>
          <t>HPE Smart Array S100i SR Gen10 SW RAID dasturiy RAID nazoratchisi</t>
        </is>
      </c>
      <c r="C2" s="5" t="inlineStr"/>
      <c r="D2" s="5" t="n">
        <v>1891792</v>
      </c>
      <c r="E2" s="5" t="n">
        <v>1689100</v>
      </c>
      <c r="F2" s="5" t="inlineStr"/>
      <c r="G2" s="5" t="inlineStr">
        <is>
          <t>HPE</t>
        </is>
      </c>
      <c r="H2" s="5">
        <f>HYPERLINK("https://itrix.uz/product/144", "🔗 Mahsulot sotib olish")</f>
        <v/>
      </c>
      <c r="I2" t="inlineStr">
        <is>
          <t>2-144-150</t>
        </is>
      </c>
    </row>
    <row r="3" ht="30" customHeight="1">
      <c r="A3" s="4" t="inlineStr">
        <is>
          <t>SSD qattiq disklari</t>
        </is>
      </c>
      <c r="B3" s="4" t="inlineStr">
        <is>
          <t>HPE 1.6TB / SAS / MU / SSD</t>
        </is>
      </c>
      <c r="C3" s="5" t="inlineStr"/>
      <c r="D3" s="5" t="n">
        <v>7538720</v>
      </c>
      <c r="E3" s="5" t="n">
        <v>6731000</v>
      </c>
      <c r="F3" s="5" t="inlineStr"/>
      <c r="G3" s="5" t="inlineStr">
        <is>
          <t>HPE</t>
        </is>
      </c>
      <c r="H3" s="5">
        <f>HYPERLINK("https://itrix.uz/product/62", "🔗 Mahsulot sotib olish")</f>
        <v/>
      </c>
      <c r="I3" t="inlineStr">
        <is>
          <t>2-62-68</t>
        </is>
      </c>
    </row>
    <row r="4" ht="30" customHeight="1">
      <c r="A4" s="4" t="inlineStr">
        <is>
          <t>Aksessuarlar</t>
        </is>
      </c>
      <c r="B4" s="4" t="inlineStr">
        <is>
          <t xml:space="preserve"> Tarmoq adapteri P25960-B21 Mellanox MCX623106AS-CDAT 100Gb 2-portli QSFP56</t>
        </is>
      </c>
      <c r="C4" s="5" t="inlineStr"/>
      <c r="D4" s="5" t="n">
        <v>10639552</v>
      </c>
      <c r="E4" s="5" t="n">
        <v>9499600</v>
      </c>
      <c r="F4" s="5" t="inlineStr"/>
      <c r="G4" s="5" t="inlineStr"/>
      <c r="H4" s="5">
        <f>HYPERLINK("https://itrix.uz/product/523", "🔗 Mahsulot sotib olish")</f>
        <v/>
      </c>
      <c r="I4" t="inlineStr">
        <is>
          <t>2-523-497</t>
        </is>
      </c>
    </row>
    <row r="5" ht="30" customHeight="1">
      <c r="A5" s="4" t="inlineStr">
        <is>
          <t>SSD qattiq disklari</t>
        </is>
      </c>
      <c r="B5" s="4" t="inlineStr">
        <is>
          <t>HPE 960GB / SAS / MU / SSD</t>
        </is>
      </c>
      <c r="C5" s="5" t="inlineStr"/>
      <c r="D5" s="5" t="n">
        <v>10269728</v>
      </c>
      <c r="E5" s="5" t="n">
        <v>9169400</v>
      </c>
      <c r="F5" s="5" t="inlineStr"/>
      <c r="G5" s="5" t="inlineStr">
        <is>
          <t>HPE</t>
        </is>
      </c>
      <c r="H5" s="5">
        <f>HYPERLINK("https://itrix.uz/product/63", "🔗 Mahsulot sotib olish")</f>
        <v/>
      </c>
      <c r="I5" t="inlineStr">
        <is>
          <t>2-63-69</t>
        </is>
      </c>
    </row>
    <row r="6" ht="30" customHeight="1">
      <c r="A6" s="4" t="inlineStr">
        <is>
          <t>SSD qattiq disklari</t>
        </is>
      </c>
      <c r="B6" s="4" t="inlineStr">
        <is>
          <t>HPE 1.92TB / SATA / RI / SSD</t>
        </is>
      </c>
      <c r="C6" s="5" t="inlineStr"/>
      <c r="D6" s="5" t="n">
        <v>16428720</v>
      </c>
      <c r="E6" s="5" t="n">
        <v>14668500</v>
      </c>
      <c r="F6" s="5" t="inlineStr"/>
      <c r="G6" s="5" t="inlineStr">
        <is>
          <t>HPE</t>
        </is>
      </c>
      <c r="H6" s="5">
        <f>HYPERLINK("https://itrix.uz/product/64", "🔗 Mahsulot sotib olish")</f>
        <v/>
      </c>
      <c r="I6" t="inlineStr">
        <is>
          <t>2-64-70</t>
        </is>
      </c>
    </row>
    <row r="7" ht="30" customHeight="1">
      <c r="A7" s="4" t="inlineStr">
        <is>
          <t>RAID-kontroller</t>
        </is>
      </c>
      <c r="B7" s="4" t="inlineStr">
        <is>
          <t>HPE MR408i-o Gen11 RAID-kontrolleri, 4GB kesh, x8 liniya, OCP/SPDM, akkumulyator bilan</t>
        </is>
      </c>
      <c r="C7" s="5" t="inlineStr"/>
      <c r="D7" s="5" t="n">
        <v>9714992</v>
      </c>
      <c r="E7" s="5" t="n">
        <v>8674100</v>
      </c>
      <c r="F7" s="5" t="inlineStr"/>
      <c r="G7" s="5" t="inlineStr">
        <is>
          <t>HPE</t>
        </is>
      </c>
      <c r="H7" s="5">
        <f>HYPERLINK("https://itrix.uz/product/527", "🔗 Mahsulot sotib olish")</f>
        <v/>
      </c>
      <c r="I7" t="inlineStr">
        <is>
          <t>2-527-501</t>
        </is>
      </c>
    </row>
    <row r="8" ht="30" customHeight="1">
      <c r="A8" s="4" t="inlineStr">
        <is>
          <t>Quvvat ta'minoti</t>
        </is>
      </c>
      <c r="B8" s="4" t="inlineStr">
        <is>
          <t>Dell Power Supply 1400W Hot Plug G15 G16 quvvat bloki</t>
        </is>
      </c>
      <c r="C8" s="5" t="inlineStr"/>
      <c r="D8" s="5" t="n">
        <v>4366768</v>
      </c>
      <c r="E8" s="5" t="n">
        <v>3898900</v>
      </c>
      <c r="F8" s="5" t="inlineStr"/>
      <c r="G8" s="5" t="inlineStr">
        <is>
          <t>Dell</t>
        </is>
      </c>
      <c r="H8" s="5">
        <f>HYPERLINK("https://itrix.uz/product/159", "🔗 Mahsulot sotib olish")</f>
        <v/>
      </c>
      <c r="I8" t="inlineStr">
        <is>
          <t>2-159-367</t>
        </is>
      </c>
    </row>
    <row r="9" ht="30" customHeight="1">
      <c r="A9" s="4" t="inlineStr">
        <is>
          <t>SSD qattiq disklari</t>
        </is>
      </c>
      <c r="B9" s="4" t="inlineStr">
        <is>
          <t>HPE 1.92TB / SAS / MU / SSD</t>
        </is>
      </c>
      <c r="C9" s="5" t="inlineStr"/>
      <c r="D9" s="5" t="n">
        <v>18476976</v>
      </c>
      <c r="E9" s="5" t="n">
        <v>16497300</v>
      </c>
      <c r="F9" s="5" t="inlineStr"/>
      <c r="G9" s="5" t="inlineStr">
        <is>
          <t>HPE</t>
        </is>
      </c>
      <c r="H9" s="5">
        <f>HYPERLINK("https://itrix.uz/product/65", "🔗 Mahsulot sotib olish")</f>
        <v/>
      </c>
      <c r="I9" t="inlineStr">
        <is>
          <t>2-65-71</t>
        </is>
      </c>
    </row>
    <row r="10" ht="30" customHeight="1">
      <c r="A10" s="4" t="inlineStr">
        <is>
          <t>Aksessuarlar</t>
        </is>
      </c>
      <c r="B10" s="4" t="inlineStr">
        <is>
          <t>HPE SN1100Q 16Gb 2-port FC HBA adapteri</t>
        </is>
      </c>
      <c r="C10" s="5" t="inlineStr"/>
      <c r="D10" s="5" t="n">
        <v>9586976</v>
      </c>
      <c r="E10" s="5" t="n">
        <v>8559800</v>
      </c>
      <c r="F10" s="5" t="inlineStr"/>
      <c r="G10" s="5" t="inlineStr">
        <is>
          <t>HPE</t>
        </is>
      </c>
      <c r="H10" s="5">
        <f>HYPERLINK("https://itrix.uz/product/103", "🔗 Mahsulot sotib olish")</f>
        <v/>
      </c>
      <c r="I10" t="inlineStr">
        <is>
          <t>2-103-366</t>
        </is>
      </c>
    </row>
    <row r="11" ht="30" customHeight="1">
      <c r="A11" s="4" t="inlineStr">
        <is>
          <t>Aksessuarlar</t>
        </is>
      </c>
      <c r="B11" s="4" t="inlineStr">
        <is>
          <t>Synology RKS-02 ray g‘ildiraklari to‘plami</t>
        </is>
      </c>
      <c r="C11" s="5" t="inlineStr"/>
      <c r="D11" s="5" t="n">
        <v>3627120</v>
      </c>
      <c r="E11" s="5" t="n">
        <v>3238500</v>
      </c>
      <c r="F11" s="5" t="inlineStr"/>
      <c r="G11" s="5" t="inlineStr">
        <is>
          <t>Synology</t>
        </is>
      </c>
      <c r="H11" s="5">
        <f>HYPERLINK("https://itrix.uz/product/278", "🔗 Mahsulot sotib olish")</f>
        <v/>
      </c>
      <c r="I11" t="inlineStr">
        <is>
          <t>2-278-280</t>
        </is>
      </c>
    </row>
    <row r="12" ht="30" customHeight="1">
      <c r="A12" s="4" t="inlineStr">
        <is>
          <t>SSD qattiq disklari</t>
        </is>
      </c>
      <c r="B12" s="4" t="inlineStr">
        <is>
          <t>DELL 1.92TB / SAS / MU / SSD</t>
        </is>
      </c>
      <c r="C12" s="5" t="inlineStr"/>
      <c r="D12" s="5" t="n">
        <v>17794224</v>
      </c>
      <c r="E12" s="5" t="n">
        <v>15887700</v>
      </c>
      <c r="F12" s="5" t="inlineStr"/>
      <c r="G12" s="5" t="inlineStr">
        <is>
          <t>Dell</t>
        </is>
      </c>
      <c r="H12" s="5">
        <f>HYPERLINK("https://itrix.uz/product/66", "🔗 Mahsulot sotib olish")</f>
        <v/>
      </c>
      <c r="I12" t="inlineStr">
        <is>
          <t>2-66-72</t>
        </is>
      </c>
    </row>
    <row r="13" ht="30" customHeight="1">
      <c r="A13" s="4" t="inlineStr">
        <is>
          <t>Aksessuarlar</t>
        </is>
      </c>
      <c r="B13" s="4" t="inlineStr">
        <is>
          <t>HPE 530SFP+ 10Gb 2-port PCIe Adapter tarmoqli kartasi</t>
        </is>
      </c>
      <c r="C13" s="5" t="inlineStr"/>
      <c r="D13" s="5" t="n">
        <v>3897376</v>
      </c>
      <c r="E13" s="5" t="n">
        <v>3479800</v>
      </c>
      <c r="F13" s="5" t="inlineStr"/>
      <c r="G13" s="5" t="inlineStr">
        <is>
          <t>HPE</t>
        </is>
      </c>
      <c r="H13" s="5">
        <f>HYPERLINK("https://itrix.uz/product/101", "🔗 Mahsulot sotib olish")</f>
        <v/>
      </c>
      <c r="I13" t="inlineStr">
        <is>
          <t>2-101-107</t>
        </is>
      </c>
    </row>
    <row r="14" ht="30" customHeight="1">
      <c r="A14" s="4" t="inlineStr">
        <is>
          <t>Tezkor xotira (RAM)</t>
        </is>
      </c>
      <c r="B14" s="4" t="inlineStr">
        <is>
          <t>HPE 32GB DDR4-2933 operativ xotira</t>
        </is>
      </c>
      <c r="C14" s="5" t="inlineStr"/>
      <c r="D14" s="5" t="n">
        <v>2531872</v>
      </c>
      <c r="E14" s="5" t="n">
        <v>2260600</v>
      </c>
      <c r="F14" s="5" t="inlineStr"/>
      <c r="G14" s="5" t="inlineStr">
        <is>
          <t>HPE</t>
        </is>
      </c>
      <c r="H14" s="5">
        <f>HYPERLINK("https://itrix.uz/product/91", "🔗 Mahsulot sotib olish")</f>
        <v/>
      </c>
      <c r="I14" t="inlineStr">
        <is>
          <t>2-91-97</t>
        </is>
      </c>
    </row>
    <row r="15" ht="30" customHeight="1">
      <c r="A15" s="4" t="inlineStr">
        <is>
          <t>SSD qattiq disklari</t>
        </is>
      </c>
      <c r="B15" s="4" t="inlineStr">
        <is>
          <t>Intel 2TB DC P4510 Series / NVMe / RI / SAS / SSD</t>
        </is>
      </c>
      <c r="C15" s="5" t="inlineStr"/>
      <c r="D15" s="5" t="n">
        <v>6158992</v>
      </c>
      <c r="E15" s="5" t="n">
        <v>5499100</v>
      </c>
      <c r="F15" s="5" t="inlineStr"/>
      <c r="G15" s="5" t="inlineStr">
        <is>
          <t>Intel</t>
        </is>
      </c>
      <c r="H15" s="5">
        <f>HYPERLINK("https://itrix.uz/product/67", "🔗 Mahsulot sotib olish")</f>
        <v/>
      </c>
      <c r="I15" t="inlineStr">
        <is>
          <t>2-67-73</t>
        </is>
      </c>
    </row>
    <row r="16" ht="30" customHeight="1">
      <c r="A16" s="4" t="inlineStr">
        <is>
          <t>HDD qattiq disklari</t>
        </is>
      </c>
      <c r="B16" s="4" t="inlineStr">
        <is>
          <t>HPE 1.2TB SAS 10000 rpm (2.5", SFF) qattiq diski</t>
        </is>
      </c>
      <c r="C16" s="5" t="inlineStr"/>
      <c r="D16" s="5" t="n">
        <v>3427984</v>
      </c>
      <c r="E16" s="5" t="n">
        <v>3060700</v>
      </c>
      <c r="F16" s="5" t="inlineStr"/>
      <c r="G16" s="5" t="inlineStr">
        <is>
          <t>HPE</t>
        </is>
      </c>
      <c r="H16" s="5">
        <f>HYPERLINK("https://itrix.uz/product/52", "🔗 Mahsulot sotib olish")</f>
        <v/>
      </c>
      <c r="I16" t="inlineStr">
        <is>
          <t>2-52-58</t>
        </is>
      </c>
    </row>
    <row r="17" ht="30" customHeight="1">
      <c r="A17" s="4" t="inlineStr">
        <is>
          <t>Aksessuarlar</t>
        </is>
      </c>
      <c r="B17" s="4" t="inlineStr">
        <is>
          <t>HPE 5m OM4 Fiber Channel Optic Cable Enterprise</t>
        </is>
      </c>
      <c r="C17" s="5" t="inlineStr"/>
      <c r="D17" s="5" t="n">
        <v>2048256</v>
      </c>
      <c r="E17" s="5" t="n">
        <v>1828800</v>
      </c>
      <c r="F17" s="5" t="inlineStr"/>
      <c r="G17" s="5" t="inlineStr">
        <is>
          <t>HPE</t>
        </is>
      </c>
      <c r="H17" s="5">
        <f>HYPERLINK("https://itrix.uz/product/107", "🔗 Mahsulot sotib olish")</f>
        <v/>
      </c>
      <c r="I17" t="inlineStr">
        <is>
          <t>2-107-113</t>
        </is>
      </c>
    </row>
    <row r="18" ht="30" customHeight="1">
      <c r="A18" s="4" t="inlineStr">
        <is>
          <t>Aksessuarlar</t>
        </is>
      </c>
      <c r="B18" s="4" t="inlineStr">
        <is>
          <t>HPE DL360 p/e G8 Fan sovitish ventilyatori</t>
        </is>
      </c>
      <c r="C18" s="5" t="inlineStr"/>
      <c r="D18" s="5" t="n">
        <v>412496</v>
      </c>
      <c r="E18" s="5" t="n">
        <v>368300</v>
      </c>
      <c r="F18" s="5" t="inlineStr"/>
      <c r="G18" s="5" t="inlineStr">
        <is>
          <t>HPE</t>
        </is>
      </c>
      <c r="H18" s="5">
        <f>HYPERLINK("https://itrix.uz/product/114", "🔗 Mahsulot sotib olish")</f>
        <v/>
      </c>
      <c r="I18" t="inlineStr">
        <is>
          <t>2-114-120</t>
        </is>
      </c>
    </row>
    <row r="19" ht="30" customHeight="1">
      <c r="A19" s="4" t="inlineStr">
        <is>
          <t>SSD qattiq disklari</t>
        </is>
      </c>
      <c r="B19" s="4" t="inlineStr">
        <is>
          <t>HPE 3.2TB SAS MU SSD xotira qurilmasi</t>
        </is>
      </c>
      <c r="C19" s="5" t="inlineStr"/>
      <c r="D19" s="5" t="n">
        <v>19159728</v>
      </c>
      <c r="E19" s="5" t="n">
        <v>17106900</v>
      </c>
      <c r="F19" s="5" t="inlineStr"/>
      <c r="G19" s="5" t="inlineStr">
        <is>
          <t>HPE</t>
        </is>
      </c>
      <c r="H19" s="5">
        <f>HYPERLINK("https://itrix.uz/product/74", "🔗 Mahsulot sotib olish")</f>
        <v/>
      </c>
      <c r="I19" t="inlineStr">
        <is>
          <t>2-74-80</t>
        </is>
      </c>
    </row>
    <row r="20" ht="30" customHeight="1">
      <c r="A20" s="4" t="inlineStr">
        <is>
          <t>Aksessuarlar</t>
        </is>
      </c>
      <c r="B20" s="4" t="inlineStr">
        <is>
          <t>HPE DL38X Gen10 Plus x8/x16/x8 Secondary Riser Kit kengaytiruvchi karta</t>
        </is>
      </c>
      <c r="C20" s="5" t="inlineStr"/>
      <c r="D20" s="5" t="n">
        <v>3427984</v>
      </c>
      <c r="E20" s="5" t="n">
        <v>3060700</v>
      </c>
      <c r="F20" s="5" t="inlineStr"/>
      <c r="G20" s="5" t="inlineStr">
        <is>
          <t>HPE</t>
        </is>
      </c>
      <c r="H20" s="5">
        <f>HYPERLINK("https://itrix.uz/product/116", "🔗 Mahsulot sotib olish")</f>
        <v/>
      </c>
      <c r="I20" t="inlineStr">
        <is>
          <t>2-116-122</t>
        </is>
      </c>
    </row>
    <row r="21" ht="30" customHeight="1">
      <c r="A21" s="4" t="inlineStr">
        <is>
          <t>SSD qattiq disklari</t>
        </is>
      </c>
      <c r="B21" s="4" t="inlineStr">
        <is>
          <t>SAMSUNG 3.84TB PM1643a / SAS / MU / SSD</t>
        </is>
      </c>
      <c r="C21" s="5" t="inlineStr"/>
      <c r="D21" s="5" t="n">
        <v>17196816</v>
      </c>
      <c r="E21" s="5" t="n">
        <v>15354300</v>
      </c>
      <c r="F21" s="5" t="inlineStr"/>
      <c r="G21" s="5" t="inlineStr">
        <is>
          <t>Samsung</t>
        </is>
      </c>
      <c r="H21" s="5">
        <f>HYPERLINK("https://itrix.uz/product/68", "🔗 Mahsulot sotib olish")</f>
        <v/>
      </c>
      <c r="I21" t="inlineStr">
        <is>
          <t>2-68-74</t>
        </is>
      </c>
    </row>
    <row r="22" ht="30" customHeight="1">
      <c r="A22" s="4" t="inlineStr">
        <is>
          <t>Aksessuarlar</t>
        </is>
      </c>
      <c r="B22" s="4" t="inlineStr">
        <is>
          <t>HPE 32Gb Fibre Channel 2-portli HBA moslama (SN1610Q)</t>
        </is>
      </c>
      <c r="C22" s="5" t="inlineStr"/>
      <c r="D22" s="5" t="n">
        <v>6116320</v>
      </c>
      <c r="E22" s="5" t="n">
        <v>5461000</v>
      </c>
      <c r="F22" s="5" t="inlineStr"/>
      <c r="G22" s="5" t="inlineStr">
        <is>
          <t>HPE</t>
        </is>
      </c>
      <c r="H22" s="5">
        <f>HYPERLINK("https://itrix.uz/product/130", "🔗 Mahsulot sotib olish")</f>
        <v/>
      </c>
      <c r="I22" t="inlineStr">
        <is>
          <t>2-130-136</t>
        </is>
      </c>
    </row>
    <row r="23" ht="30" customHeight="1">
      <c r="A23" s="4" t="inlineStr">
        <is>
          <t>Aksessuarlar</t>
        </is>
      </c>
      <c r="B23" s="4" t="inlineStr">
        <is>
          <t>HPE Broadcom BCM57412 Ethernet 10Gb 2-port SFP+ tarmoq adapteri</t>
        </is>
      </c>
      <c r="C23" s="5" t="inlineStr"/>
      <c r="D23" s="5" t="n">
        <v>4110736</v>
      </c>
      <c r="E23" s="5" t="n">
        <v>3670300</v>
      </c>
      <c r="F23" s="5" t="inlineStr"/>
      <c r="G23" s="5" t="inlineStr">
        <is>
          <t>HPE</t>
        </is>
      </c>
      <c r="H23" s="5">
        <f>HYPERLINK("https://itrix.uz/product/132", "🔗 Mahsulot sotib olish")</f>
        <v/>
      </c>
      <c r="I23" t="inlineStr">
        <is>
          <t>2-132-138</t>
        </is>
      </c>
    </row>
    <row r="24" ht="30" customHeight="1">
      <c r="A24" s="4" t="inlineStr">
        <is>
          <t>HDD qattiq disklari</t>
        </is>
      </c>
      <c r="B24" s="4" t="inlineStr">
        <is>
          <t>HPE 300GB SAS 10000 rpm (2.5", SFF) qattiq diski</t>
        </is>
      </c>
      <c r="C24" s="5" t="inlineStr"/>
      <c r="D24" s="5" t="n">
        <v>583184</v>
      </c>
      <c r="E24" s="5" t="n">
        <v>520700</v>
      </c>
      <c r="F24" s="5" t="inlineStr"/>
      <c r="G24" s="5" t="inlineStr">
        <is>
          <t>HPE</t>
        </is>
      </c>
      <c r="H24" s="5">
        <f>HYPERLINK("https://itrix.uz/product/47", "🔗 Mahsulot sotib olish")</f>
        <v/>
      </c>
      <c r="I24" t="inlineStr">
        <is>
          <t>2-47-53</t>
        </is>
      </c>
    </row>
    <row r="25" ht="30" customHeight="1">
      <c r="A25" s="4" t="inlineStr">
        <is>
          <t>Aksessuarlar</t>
        </is>
      </c>
      <c r="B25" s="4" t="inlineStr">
        <is>
          <t>DELL R440/R540 CPU1 Heatsink protsessor uchun radiator</t>
        </is>
      </c>
      <c r="C25" s="5" t="inlineStr"/>
      <c r="D25" s="5" t="n">
        <v>682752</v>
      </c>
      <c r="E25" s="5" t="n">
        <v>609600</v>
      </c>
      <c r="F25" s="5" t="inlineStr"/>
      <c r="G25" s="5" t="inlineStr">
        <is>
          <t>Dell</t>
        </is>
      </c>
      <c r="H25" s="5">
        <f>HYPERLINK("https://itrix.uz/product/126", "🔗 Mahsulot sotib olish")</f>
        <v/>
      </c>
      <c r="I25" t="inlineStr">
        <is>
          <t>2-126-132</t>
        </is>
      </c>
    </row>
    <row r="26" ht="30" customHeight="1">
      <c r="A26" s="4" t="inlineStr">
        <is>
          <t>Tezkor xotira (RAM)</t>
        </is>
      </c>
      <c r="B26" s="4" t="inlineStr">
        <is>
          <t>Samsung 32GB DDR4-2933 operativ xotira</t>
        </is>
      </c>
      <c r="C26" s="5" t="inlineStr"/>
      <c r="D26" s="5" t="n">
        <v>1778000</v>
      </c>
      <c r="E26" s="5" t="n">
        <v>1587500</v>
      </c>
      <c r="F26" s="5" t="inlineStr"/>
      <c r="G26" s="5" t="inlineStr">
        <is>
          <t>Samsung</t>
        </is>
      </c>
      <c r="H26" s="5">
        <f>HYPERLINK("https://itrix.uz/product/80", "🔗 Mahsulot sotib olish")</f>
        <v/>
      </c>
      <c r="I26" t="inlineStr">
        <is>
          <t>2-80-86</t>
        </is>
      </c>
    </row>
    <row r="27" ht="30" customHeight="1">
      <c r="A27" s="4" t="inlineStr">
        <is>
          <t>Quvvat ta'minoti</t>
        </is>
      </c>
      <c r="B27" s="4" t="inlineStr">
        <is>
          <t>DELL 800W G15 Hot-Plug quvvat bloki</t>
        </is>
      </c>
      <c r="C27" s="5" t="inlineStr"/>
      <c r="D27" s="5" t="n">
        <v>2731008</v>
      </c>
      <c r="E27" s="5" t="n">
        <v>2438400</v>
      </c>
      <c r="F27" s="5" t="inlineStr"/>
      <c r="G27" s="5" t="inlineStr">
        <is>
          <t>Dell</t>
        </is>
      </c>
      <c r="H27" s="5">
        <f>HYPERLINK("https://itrix.uz/product/157", "🔗 Mahsulot sotib olish")</f>
        <v/>
      </c>
      <c r="I27" t="inlineStr">
        <is>
          <t>2-157-163</t>
        </is>
      </c>
    </row>
    <row r="28" ht="30" customHeight="1">
      <c r="A28" s="4" t="inlineStr">
        <is>
          <t>Quvvat ta'minoti</t>
        </is>
      </c>
      <c r="B28" s="4" t="inlineStr">
        <is>
          <t>HPE 1000W Flex Slot Titanium Hot Plug quvvat bloki</t>
        </is>
      </c>
      <c r="C28" s="5" t="inlineStr"/>
      <c r="D28" s="5" t="n">
        <v>3058160</v>
      </c>
      <c r="E28" s="5" t="n">
        <v>2730500</v>
      </c>
      <c r="F28" s="5" t="inlineStr"/>
      <c r="G28" s="5" t="inlineStr">
        <is>
          <t>HPE</t>
        </is>
      </c>
      <c r="H28" s="5">
        <f>HYPERLINK("https://itrix.uz/product/155", "🔗 Mahsulot sotib olish")</f>
        <v/>
      </c>
      <c r="I28" t="inlineStr">
        <is>
          <t>2-155-161</t>
        </is>
      </c>
    </row>
    <row r="29" ht="30" customHeight="1">
      <c r="A29" s="4" t="inlineStr">
        <is>
          <t>Video kartalar</t>
        </is>
      </c>
      <c r="B29" s="4" t="inlineStr">
        <is>
          <t xml:space="preserve"> NVIDIA RTX 6000 Ada 48GB GDDR6 videokartasi</t>
        </is>
      </c>
      <c r="C29" s="5" t="inlineStr"/>
      <c r="D29" s="5" t="n">
        <v>159280352</v>
      </c>
      <c r="E29" s="5" t="n">
        <v>142214600</v>
      </c>
      <c r="F29" s="5" t="inlineStr"/>
      <c r="G29" s="5" t="inlineStr">
        <is>
          <t>Nvidia</t>
        </is>
      </c>
      <c r="H29" s="5">
        <f>HYPERLINK("https://itrix.uz/product/501", "🔗 Mahsulot sotib olish")</f>
        <v/>
      </c>
      <c r="I29" t="inlineStr">
        <is>
          <t>2-501-484</t>
        </is>
      </c>
    </row>
    <row r="30" ht="30" customHeight="1">
      <c r="A30" s="4" t="inlineStr">
        <is>
          <t>SSD qattiq disklari</t>
        </is>
      </c>
      <c r="B30" s="4" t="inlineStr">
        <is>
          <t>Intel 960GB S4610 / MU / SATA / SSD</t>
        </is>
      </c>
      <c r="C30" s="5" t="inlineStr"/>
      <c r="D30" s="5" t="n">
        <v>6116320</v>
      </c>
      <c r="E30" s="5" t="n">
        <v>5461000</v>
      </c>
      <c r="F30" s="5" t="inlineStr"/>
      <c r="G30" s="5" t="inlineStr">
        <is>
          <t>Intel</t>
        </is>
      </c>
      <c r="H30" s="5">
        <f>HYPERLINK("https://itrix.uz/product/69", "🔗 Mahsulot sotib olish")</f>
        <v/>
      </c>
      <c r="I30" t="inlineStr">
        <is>
          <t>2-69-75</t>
        </is>
      </c>
    </row>
    <row r="31" ht="30" customHeight="1">
      <c r="A31" s="4" t="inlineStr">
        <is>
          <t>Aksessuarlar</t>
        </is>
      </c>
      <c r="B31" s="4" t="inlineStr">
        <is>
          <t>HPE DL380 Gen10 SFF Box1/2 Cage/Backplane Kit diskli qutisi</t>
        </is>
      </c>
      <c r="C31" s="5" t="inlineStr"/>
      <c r="D31" s="5" t="n">
        <v>4110736</v>
      </c>
      <c r="E31" s="5" t="n">
        <v>3670300</v>
      </c>
      <c r="F31" s="5" t="inlineStr"/>
      <c r="G31" s="5" t="inlineStr">
        <is>
          <t>HPE</t>
        </is>
      </c>
      <c r="H31" s="5">
        <f>HYPERLINK("https://itrix.uz/product/110", "🔗 Mahsulot sotib olish")</f>
        <v/>
      </c>
      <c r="I31" t="inlineStr">
        <is>
          <t>2-110-116</t>
        </is>
      </c>
    </row>
    <row r="32" ht="30" customHeight="1">
      <c r="A32" s="4" t="inlineStr">
        <is>
          <t>Aksessuarlar</t>
        </is>
      </c>
      <c r="B32" s="4" t="inlineStr">
        <is>
          <t>Mini-SAS HD tashqi ulash uchun kabel (SAS kabeli)</t>
        </is>
      </c>
      <c r="C32" s="5" t="inlineStr"/>
      <c r="D32" s="5" t="n">
        <v>2133600</v>
      </c>
      <c r="E32" s="5" t="n">
        <v>1905000</v>
      </c>
      <c r="F32" s="5" t="inlineStr"/>
      <c r="G32" s="5" t="inlineStr"/>
      <c r="H32" s="5">
        <f>HYPERLINK("https://itrix.uz/product/519", "🔗 Mahsulot sotib olish")</f>
        <v/>
      </c>
      <c r="I32" t="inlineStr">
        <is>
          <t>2-519-495</t>
        </is>
      </c>
    </row>
    <row r="33" ht="30" customHeight="1">
      <c r="A33" s="4" t="inlineStr">
        <is>
          <t>SSD qattiq disklari</t>
        </is>
      </c>
      <c r="B33" s="4" t="inlineStr">
        <is>
          <t>SAMSUNG 960GB PM1643a / SAS / MU / SSD</t>
        </is>
      </c>
      <c r="C33" s="5" t="inlineStr"/>
      <c r="D33" s="5" t="n">
        <v>7282688</v>
      </c>
      <c r="E33" s="5" t="n">
        <v>6502400</v>
      </c>
      <c r="F33" s="5" t="inlineStr"/>
      <c r="G33" s="5" t="inlineStr">
        <is>
          <t>Samsung</t>
        </is>
      </c>
      <c r="H33" s="5">
        <f>HYPERLINK("https://itrix.uz/product/70", "🔗 Mahsulot sotib olish")</f>
        <v/>
      </c>
      <c r="I33" t="inlineStr">
        <is>
          <t>2-70-76</t>
        </is>
      </c>
    </row>
    <row r="34" ht="30" customHeight="1">
      <c r="A34" s="4" t="inlineStr">
        <is>
          <t>Protsessorlar</t>
        </is>
      </c>
      <c r="B34" s="4" t="inlineStr">
        <is>
          <t>Intel Xeon-Gold 6250 (3.9GHz/8-core/185W)</t>
        </is>
      </c>
      <c r="C34" s="5" t="inlineStr"/>
      <c r="D34" s="5" t="n">
        <v>45175424</v>
      </c>
      <c r="E34" s="5" t="n">
        <v>40335200</v>
      </c>
      <c r="F34" s="5" t="inlineStr"/>
      <c r="G34" s="5" t="inlineStr">
        <is>
          <t>Intel</t>
        </is>
      </c>
      <c r="H34" s="5">
        <f>HYPERLINK("https://itrix.uz/product/354", "🔗 Mahsulot sotib olish")</f>
        <v/>
      </c>
      <c r="I34" t="inlineStr">
        <is>
          <t>2-354-356</t>
        </is>
      </c>
    </row>
    <row r="35" ht="30" customHeight="1">
      <c r="A35" s="4" t="inlineStr">
        <is>
          <t>Protsessorlar</t>
        </is>
      </c>
      <c r="B35" s="4" t="inlineStr">
        <is>
          <t>Intel Xeon-Gold 5220R (2.2GHz/24-core/150W)</t>
        </is>
      </c>
      <c r="C35" s="5" t="inlineStr"/>
      <c r="D35" s="5" t="n">
        <v>18946368</v>
      </c>
      <c r="E35" s="5" t="n">
        <v>16916400</v>
      </c>
      <c r="F35" s="5" t="inlineStr"/>
      <c r="G35" s="5" t="inlineStr">
        <is>
          <t>Intel</t>
        </is>
      </c>
      <c r="H35" s="5">
        <f>HYPERLINK("https://itrix.uz/product/346", "🔗 Mahsulot sotib olish")</f>
        <v/>
      </c>
      <c r="I35" t="inlineStr">
        <is>
          <t>2-346-348</t>
        </is>
      </c>
    </row>
    <row r="36" ht="30" customHeight="1">
      <c r="A36" s="4" t="inlineStr">
        <is>
          <t>Tezkor xotira (RAM)</t>
        </is>
      </c>
      <c r="B36" s="4" t="inlineStr">
        <is>
          <t>Samsung 16GB DDR4-2666 operativ xotira</t>
        </is>
      </c>
      <c r="C36" s="5" t="inlineStr"/>
      <c r="D36" s="5" t="n">
        <v>1365504</v>
      </c>
      <c r="E36" s="5" t="n">
        <v>1219200</v>
      </c>
      <c r="F36" s="5" t="inlineStr"/>
      <c r="G36" s="5" t="inlineStr">
        <is>
          <t>Samsung</t>
        </is>
      </c>
      <c r="H36" s="5">
        <f>HYPERLINK("https://itrix.uz/product/77", "🔗 Mahsulot sotib olish")</f>
        <v/>
      </c>
      <c r="I36" t="inlineStr">
        <is>
          <t>2-77-83</t>
        </is>
      </c>
    </row>
    <row r="37" ht="30" customHeight="1">
      <c r="A37" s="4" t="inlineStr">
        <is>
          <t>HDD qattiq disklari</t>
        </is>
      </c>
      <c r="B37" s="4" t="inlineStr">
        <is>
          <t>DELL 16TB SAS 7200 rpm (3.5", LFF) qattiq diski</t>
        </is>
      </c>
      <c r="C37" s="5" t="inlineStr"/>
      <c r="D37" s="5" t="n">
        <v>6158992</v>
      </c>
      <c r="E37" s="5" t="n">
        <v>5499100</v>
      </c>
      <c r="F37" s="5" t="inlineStr"/>
      <c r="G37" s="5" t="inlineStr">
        <is>
          <t>Dell</t>
        </is>
      </c>
      <c r="H37" s="5">
        <f>HYPERLINK("https://itrix.uz/product/41", "🔗 Mahsulot sotib olish")</f>
        <v/>
      </c>
      <c r="I37" t="inlineStr">
        <is>
          <t>2-41-47</t>
        </is>
      </c>
    </row>
    <row r="38" ht="30" customHeight="1">
      <c r="A38" s="4" t="inlineStr">
        <is>
          <t>Tezkor xotira (RAM)</t>
        </is>
      </c>
      <c r="B38" s="4" t="inlineStr">
        <is>
          <t>Samsung 64GB DDR4-2666 LRDIMM operativ xotira</t>
        </is>
      </c>
      <c r="C38" s="5" t="inlineStr"/>
      <c r="D38" s="5" t="n">
        <v>1337056</v>
      </c>
      <c r="E38" s="5" t="n">
        <v>1193800</v>
      </c>
      <c r="F38" s="5" t="inlineStr"/>
      <c r="G38" s="5" t="inlineStr">
        <is>
          <t>Samsung</t>
        </is>
      </c>
      <c r="H38" s="5">
        <f>HYPERLINK("https://itrix.uz/product/81", "🔗 Mahsulot sotib olish")</f>
        <v/>
      </c>
      <c r="I38" t="inlineStr">
        <is>
          <t>2-81-87</t>
        </is>
      </c>
    </row>
    <row r="39" ht="30" customHeight="1">
      <c r="A39" s="4" t="inlineStr">
        <is>
          <t>Protsessorlar</t>
        </is>
      </c>
      <c r="B39" s="4" t="inlineStr">
        <is>
          <t>Intel Xeon Gold 6354 (3.0GHz/18-core/205W)</t>
        </is>
      </c>
      <c r="C39" s="5" t="inlineStr"/>
      <c r="D39" s="5" t="n">
        <v>38475920</v>
      </c>
      <c r="E39" s="5" t="n">
        <v>34353500</v>
      </c>
      <c r="F39" s="5" t="inlineStr"/>
      <c r="G39" s="5" t="inlineStr">
        <is>
          <t>Intel</t>
        </is>
      </c>
      <c r="H39" s="5">
        <f>HYPERLINK("https://itrix.uz/product/362", "🔗 Mahsulot sotib olish")</f>
        <v/>
      </c>
      <c r="I39" t="inlineStr">
        <is>
          <t>2-362-364</t>
        </is>
      </c>
    </row>
    <row r="40" ht="30" customHeight="1">
      <c r="A40" s="4" t="inlineStr">
        <is>
          <t>Tezkor xotira (RAM)</t>
        </is>
      </c>
      <c r="B40" s="4" t="inlineStr">
        <is>
          <t>Samsung 64GB DDR4-3200 operativ xotira</t>
        </is>
      </c>
      <c r="C40" s="5" t="inlineStr"/>
      <c r="D40" s="5" t="n">
        <v>3427984</v>
      </c>
      <c r="E40" s="5" t="n">
        <v>3060700</v>
      </c>
      <c r="F40" s="5" t="inlineStr"/>
      <c r="G40" s="5" t="inlineStr">
        <is>
          <t>Samsung</t>
        </is>
      </c>
      <c r="H40" s="5">
        <f>HYPERLINK("https://itrix.uz/product/82", "🔗 Mahsulot sotib olish")</f>
        <v/>
      </c>
      <c r="I40" t="inlineStr">
        <is>
          <t>2-82-88</t>
        </is>
      </c>
    </row>
    <row r="41" ht="30" customHeight="1">
      <c r="A41" s="4" t="inlineStr">
        <is>
          <t>HDD qattiq disklari</t>
        </is>
      </c>
      <c r="B41" s="4" t="inlineStr">
        <is>
          <t>HPE 1TB SATA 7200 rpm (3.5", LFF) qattiq diski</t>
        </is>
      </c>
      <c r="C41" s="5" t="inlineStr"/>
      <c r="D41" s="5" t="n">
        <v>2631440</v>
      </c>
      <c r="E41" s="5" t="n">
        <v>2349500</v>
      </c>
      <c r="F41" s="5" t="inlineStr"/>
      <c r="G41" s="5" t="inlineStr">
        <is>
          <t>HPE</t>
        </is>
      </c>
      <c r="H41" s="5">
        <f>HYPERLINK("https://itrix.uz/product/44", "🔗 Mahsulot sotib olish")</f>
        <v/>
      </c>
      <c r="I41" t="inlineStr">
        <is>
          <t>2-44-50</t>
        </is>
      </c>
    </row>
    <row r="42" ht="30" customHeight="1">
      <c r="A42" s="4" t="inlineStr">
        <is>
          <t>Tarkibiy qismlar</t>
        </is>
      </c>
      <c r="B42" s="4" t="inlineStr">
        <is>
          <t>Dell DW316 tashqi USB Slim DVD±RW disk yuritgichi</t>
        </is>
      </c>
      <c r="C42" s="5" t="inlineStr"/>
      <c r="D42" s="5" t="n">
        <v>2048256</v>
      </c>
      <c r="E42" s="5" t="n">
        <v>1828800</v>
      </c>
      <c r="F42" s="5" t="inlineStr"/>
      <c r="G42" s="5" t="inlineStr">
        <is>
          <t>Dell</t>
        </is>
      </c>
      <c r="H42" s="5">
        <f>HYPERLINK("https://itrix.uz/product/593", "🔗 Mahsulot sotib olish")</f>
        <v/>
      </c>
      <c r="I42" t="inlineStr">
        <is>
          <t>2-593-548</t>
        </is>
      </c>
    </row>
    <row r="43" ht="30" customHeight="1">
      <c r="A43" s="4" t="inlineStr">
        <is>
          <t>Tarkibiy qismlar</t>
        </is>
      </c>
      <c r="B43" s="4" t="inlineStr">
        <is>
          <t>Samsung T9 4TB portativ SSD (USB 3.2 Gen 2x2)</t>
        </is>
      </c>
      <c r="C43" s="5" t="inlineStr"/>
      <c r="D43" s="5" t="n">
        <v>14821408</v>
      </c>
      <c r="E43" s="5" t="n">
        <v>13233400</v>
      </c>
      <c r="F43" s="5" t="inlineStr"/>
      <c r="G43" s="5" t="inlineStr">
        <is>
          <t>Samsung</t>
        </is>
      </c>
      <c r="H43" s="5">
        <f>HYPERLINK("https://itrix.uz/product/595", "🔗 Mahsulot sotib olish")</f>
        <v/>
      </c>
      <c r="I43" t="inlineStr">
        <is>
          <t>2-595-550</t>
        </is>
      </c>
    </row>
    <row r="44" ht="30" customHeight="1">
      <c r="A44" s="4" t="inlineStr">
        <is>
          <t>Aksessuarlar</t>
        </is>
      </c>
      <c r="B44" s="4" t="inlineStr">
        <is>
          <t>DELL 2SFF NVMe Riser R750 Cable</t>
        </is>
      </c>
      <c r="C44" s="5" t="inlineStr"/>
      <c r="D44" s="5" t="n">
        <v>3413760</v>
      </c>
      <c r="E44" s="5" t="n">
        <v>3048000</v>
      </c>
      <c r="F44" s="5" t="inlineStr"/>
      <c r="G44" s="5" t="inlineStr">
        <is>
          <t>Dell</t>
        </is>
      </c>
      <c r="H44" s="5">
        <f>HYPERLINK("https://itrix.uz/product/117", "🔗 Mahsulot sotib olish")</f>
        <v/>
      </c>
      <c r="I44" t="inlineStr">
        <is>
          <t>2-117-123</t>
        </is>
      </c>
    </row>
    <row r="45" ht="30" customHeight="1">
      <c r="A45" s="4" t="inlineStr">
        <is>
          <t>Protsessorlar</t>
        </is>
      </c>
      <c r="B45" s="4" t="inlineStr">
        <is>
          <t>Intel Xeon Gold 6326 (2.9GHz/16-core/185W)</t>
        </is>
      </c>
      <c r="C45" s="5" t="inlineStr"/>
      <c r="D45" s="5" t="n">
        <v>21279104</v>
      </c>
      <c r="E45" s="5" t="n">
        <v>18999200</v>
      </c>
      <c r="F45" s="5" t="inlineStr"/>
      <c r="G45" s="5" t="inlineStr">
        <is>
          <t>Intel</t>
        </is>
      </c>
      <c r="H45" s="5">
        <f>HYPERLINK("https://itrix.uz/product/355", "🔗 Mahsulot sotib olish")</f>
        <v/>
      </c>
      <c r="I45" t="inlineStr">
        <is>
          <t>2-355-357</t>
        </is>
      </c>
    </row>
    <row r="46" ht="30" customHeight="1">
      <c r="A46" s="4" t="inlineStr">
        <is>
          <t>Aksessuarlar</t>
        </is>
      </c>
      <c r="B46" s="4" t="inlineStr">
        <is>
          <t>LC/UPC–LC/UPC MM (OM4) duplex Uniboot flat klipli 3m optik patch kabel</t>
        </is>
      </c>
      <c r="C46" s="5" t="inlineStr"/>
      <c r="D46" s="5" t="n">
        <v>113792</v>
      </c>
      <c r="E46" s="5" t="n">
        <v>101600</v>
      </c>
      <c r="F46" s="5" t="inlineStr"/>
      <c r="G46" s="5" t="inlineStr"/>
      <c r="H46" s="5">
        <f>HYPERLINK("https://itrix.uz/product/555", "🔗 Mahsulot sotib olish")</f>
        <v/>
      </c>
      <c r="I46" t="inlineStr">
        <is>
          <t>2-555-518</t>
        </is>
      </c>
    </row>
    <row r="47" ht="30" customHeight="1">
      <c r="A47" s="4" t="inlineStr">
        <is>
          <t>SSD qattiq disklari</t>
        </is>
      </c>
      <c r="B47" s="4" t="inlineStr">
        <is>
          <t>HPE 3.84TB SAS MU SSD</t>
        </is>
      </c>
      <c r="C47" s="5" t="inlineStr"/>
      <c r="D47" s="5" t="n">
        <v>21904960</v>
      </c>
      <c r="E47" s="5" t="n">
        <v>19558000</v>
      </c>
      <c r="F47" s="5" t="inlineStr"/>
      <c r="G47" s="5" t="inlineStr">
        <is>
          <t>HPE</t>
        </is>
      </c>
      <c r="H47" s="5">
        <f>HYPERLINK("https://itrix.uz/product/71", "🔗 Mahsulot sotib olish")</f>
        <v/>
      </c>
      <c r="I47" t="inlineStr">
        <is>
          <t>2-71-77</t>
        </is>
      </c>
    </row>
    <row r="48" ht="30" customHeight="1">
      <c r="A48" s="4" t="inlineStr">
        <is>
          <t>Aksessuarlar</t>
        </is>
      </c>
      <c r="B48" s="4" t="inlineStr">
        <is>
          <t>FS Dell 331-5311 mos 10GBASE-SR SFP+ optik transiver moduli, 850nm, 300m, LC/UPC</t>
        </is>
      </c>
      <c r="C48" s="5" t="inlineStr"/>
      <c r="D48" s="5" t="n">
        <v>739648</v>
      </c>
      <c r="E48" s="5" t="n">
        <v>660400</v>
      </c>
      <c r="F48" s="5" t="inlineStr"/>
      <c r="G48" s="5" t="inlineStr">
        <is>
          <t>FS</t>
        </is>
      </c>
      <c r="H48" s="5">
        <f>HYPERLINK("https://itrix.uz/product/576", "🔗 Mahsulot sotib olish")</f>
        <v/>
      </c>
      <c r="I48" t="inlineStr">
        <is>
          <t>2-576-536</t>
        </is>
      </c>
    </row>
    <row r="49" ht="30" customHeight="1">
      <c r="A49" s="4" t="inlineStr">
        <is>
          <t>Aksessuarlar</t>
        </is>
      </c>
      <c r="B49" s="4" t="inlineStr">
        <is>
          <t>HPE ML110/ML350 Gen10 4LFF Drive Backplane Cage Kit diskli qutisi</t>
        </is>
      </c>
      <c r="C49" s="5" t="inlineStr"/>
      <c r="D49" s="5" t="n">
        <v>3143504</v>
      </c>
      <c r="E49" s="5" t="n">
        <v>2806700</v>
      </c>
      <c r="F49" s="5" t="inlineStr"/>
      <c r="G49" s="5" t="inlineStr">
        <is>
          <t>HPE</t>
        </is>
      </c>
      <c r="H49" s="5">
        <f>HYPERLINK("https://itrix.uz/product/104", "🔗 Mahsulot sotib olish")</f>
        <v/>
      </c>
      <c r="I49" t="inlineStr">
        <is>
          <t>2-104-110</t>
        </is>
      </c>
    </row>
    <row r="50" ht="30" customHeight="1">
      <c r="A50" s="4" t="inlineStr">
        <is>
          <t>Protsessorlar</t>
        </is>
      </c>
      <c r="B50" s="4" t="inlineStr">
        <is>
          <t>Intel Xeon Gold 6334 (3.6GHz/8-core/165W)</t>
        </is>
      </c>
      <c r="C50" s="5" t="inlineStr"/>
      <c r="D50" s="5" t="n">
        <v>25361392</v>
      </c>
      <c r="E50" s="5" t="n">
        <v>22644100</v>
      </c>
      <c r="F50" s="5" t="inlineStr"/>
      <c r="G50" s="5" t="inlineStr">
        <is>
          <t>Intel</t>
        </is>
      </c>
      <c r="H50" s="5">
        <f>HYPERLINK("https://itrix.uz/product/357", "🔗 Mahsulot sotib olish")</f>
        <v/>
      </c>
      <c r="I50" t="inlineStr">
        <is>
          <t>2-357-359</t>
        </is>
      </c>
    </row>
    <row r="51" ht="30" customHeight="1">
      <c r="A51" s="4" t="inlineStr">
        <is>
          <t>Protsessorlar</t>
        </is>
      </c>
      <c r="B51" s="4" t="inlineStr">
        <is>
          <t>Intel Xeon-Gold 6226R (2.9GHz/16-core/150W)</t>
        </is>
      </c>
      <c r="C51" s="5" t="inlineStr"/>
      <c r="D51" s="5" t="n">
        <v>16314928</v>
      </c>
      <c r="E51" s="5" t="n">
        <v>14566900</v>
      </c>
      <c r="F51" s="5" t="inlineStr"/>
      <c r="G51" s="5" t="inlineStr">
        <is>
          <t>Intel</t>
        </is>
      </c>
      <c r="H51" s="5">
        <f>HYPERLINK("https://itrix.uz/product/351", "🔗 Mahsulot sotib olish")</f>
        <v/>
      </c>
      <c r="I51" t="inlineStr">
        <is>
          <t>2-351-353</t>
        </is>
      </c>
    </row>
    <row r="52" ht="30" customHeight="1">
      <c r="A52" s="4" t="inlineStr">
        <is>
          <t>Protsessorlar</t>
        </is>
      </c>
      <c r="B52" s="4" t="inlineStr">
        <is>
          <t>Intel Xeon Silver 4309Y 2.8G, 8C, 12M (105W)</t>
        </is>
      </c>
      <c r="C52" s="5" t="inlineStr"/>
      <c r="D52" s="5" t="n">
        <v>8597697</v>
      </c>
      <c r="E52" s="5" t="n">
        <v>7676515</v>
      </c>
      <c r="F52" s="5" t="inlineStr"/>
      <c r="G52" s="5" t="inlineStr">
        <is>
          <t>Intel</t>
        </is>
      </c>
      <c r="H52" s="5">
        <f>HYPERLINK("https://itrix.uz/product/333", "🔗 Mahsulot sotib olish")</f>
        <v/>
      </c>
      <c r="I52" t="inlineStr">
        <is>
          <t>2-333-335</t>
        </is>
      </c>
    </row>
    <row r="53" ht="30" customHeight="1">
      <c r="A53" s="4" t="inlineStr">
        <is>
          <t>Protsessorlar</t>
        </is>
      </c>
      <c r="B53" s="4" t="inlineStr">
        <is>
          <t>Intel Xeon Gold 6330 (2.0GHz/28-core/205W)</t>
        </is>
      </c>
      <c r="C53" s="5" t="inlineStr"/>
      <c r="D53" s="5" t="n">
        <v>17794224</v>
      </c>
      <c r="E53" s="5" t="n">
        <v>15887700</v>
      </c>
      <c r="F53" s="5" t="inlineStr"/>
      <c r="G53" s="5" t="inlineStr">
        <is>
          <t>Intel</t>
        </is>
      </c>
      <c r="H53" s="5">
        <f>HYPERLINK("https://itrix.uz/product/356", "🔗 Mahsulot sotib olish")</f>
        <v/>
      </c>
      <c r="I53" t="inlineStr">
        <is>
          <t>2-356-358</t>
        </is>
      </c>
    </row>
    <row r="54" ht="30" customHeight="1">
      <c r="A54" s="4" t="inlineStr">
        <is>
          <t>Protsessorlar</t>
        </is>
      </c>
      <c r="B54" s="4" t="inlineStr">
        <is>
          <t>Intel Xeon-Silver 4208 (2.1GHz/8-core/85W)</t>
        </is>
      </c>
      <c r="C54" s="5" t="inlineStr"/>
      <c r="D54" s="5" t="n">
        <v>5473964</v>
      </c>
      <c r="E54" s="5" t="n">
        <v>4887468</v>
      </c>
      <c r="F54" s="5" t="inlineStr"/>
      <c r="G54" s="5" t="inlineStr">
        <is>
          <t>Intel</t>
        </is>
      </c>
      <c r="H54" s="5">
        <f>HYPERLINK("https://itrix.uz/product/334", "🔗 Mahsulot sotib olish")</f>
        <v/>
      </c>
      <c r="I54" t="inlineStr">
        <is>
          <t>2-334-336</t>
        </is>
      </c>
    </row>
    <row r="55" ht="30" customHeight="1">
      <c r="A55" s="4" t="inlineStr">
        <is>
          <t>SSD qattiq disklari</t>
        </is>
      </c>
      <c r="B55" s="4" t="inlineStr">
        <is>
          <t>DELL 960GB SAS RI SSD xotira qurilmasi</t>
        </is>
      </c>
      <c r="C55" s="5" t="inlineStr"/>
      <c r="D55" s="5" t="n">
        <v>6841744</v>
      </c>
      <c r="E55" s="5" t="n">
        <v>6108700</v>
      </c>
      <c r="F55" s="5" t="inlineStr"/>
      <c r="G55" s="5" t="inlineStr">
        <is>
          <t>Dell</t>
        </is>
      </c>
      <c r="H55" s="5">
        <f>HYPERLINK("https://itrix.uz/product/72", "🔗 Mahsulot sotib olish")</f>
        <v/>
      </c>
      <c r="I55" t="inlineStr">
        <is>
          <t>2-72-78</t>
        </is>
      </c>
    </row>
    <row r="56" ht="30" customHeight="1">
      <c r="A56" s="4" t="inlineStr">
        <is>
          <t>Protsessorlar</t>
        </is>
      </c>
      <c r="B56" s="4" t="inlineStr">
        <is>
          <t>Intel Xeon-Gold 5220 (2.2GHz/18-core/125W)</t>
        </is>
      </c>
      <c r="C56" s="5" t="inlineStr"/>
      <c r="D56" s="5" t="n">
        <v>4949952</v>
      </c>
      <c r="E56" s="5" t="n">
        <v>4419600</v>
      </c>
      <c r="F56" s="5" t="inlineStr"/>
      <c r="G56" s="5" t="inlineStr">
        <is>
          <t>Intel</t>
        </is>
      </c>
      <c r="H56" s="5">
        <f>HYPERLINK("https://itrix.uz/product/345", "🔗 Mahsulot sotib olish")</f>
        <v/>
      </c>
      <c r="I56" t="inlineStr">
        <is>
          <t>2-345-347</t>
        </is>
      </c>
    </row>
    <row r="57" ht="30" customHeight="1">
      <c r="A57" s="4" t="inlineStr">
        <is>
          <t>Aksessuarlar</t>
        </is>
      </c>
      <c r="B57" s="4" t="inlineStr">
        <is>
          <t>Dell QSFP-64GFC-SW4 64G qisqa masofali QSFP+ MPO optik moduli</t>
        </is>
      </c>
      <c r="C57" s="5" t="inlineStr"/>
      <c r="D57" s="5" t="n">
        <v>5689600</v>
      </c>
      <c r="E57" s="5" t="n">
        <v>5080000</v>
      </c>
      <c r="F57" s="5" t="inlineStr"/>
      <c r="G57" s="5" t="inlineStr">
        <is>
          <t>Dell</t>
        </is>
      </c>
      <c r="H57" s="5">
        <f>HYPERLINK("https://itrix.uz/product/579", "🔗 Mahsulot sotib olish")</f>
        <v/>
      </c>
      <c r="I57" t="inlineStr">
        <is>
          <t>2-579-538</t>
        </is>
      </c>
    </row>
    <row r="58" ht="30" customHeight="1">
      <c r="A58" s="4" t="inlineStr">
        <is>
          <t>Protsessorlar</t>
        </is>
      </c>
      <c r="B58" s="4" t="inlineStr">
        <is>
          <t>Intel Xeon-Silver 4210 (2.2GHz/10-core/85W)</t>
        </is>
      </c>
      <c r="C58" s="5" t="inlineStr"/>
      <c r="D58" s="5" t="n">
        <v>3934358</v>
      </c>
      <c r="E58" s="5" t="n">
        <v>3512820</v>
      </c>
      <c r="F58" s="5" t="inlineStr"/>
      <c r="G58" s="5" t="inlineStr">
        <is>
          <t>Intel</t>
        </is>
      </c>
      <c r="H58" s="5">
        <f>HYPERLINK("https://itrix.uz/product/335", "🔗 Mahsulot sotib olish")</f>
        <v/>
      </c>
      <c r="I58" t="inlineStr">
        <is>
          <t>2-335-337</t>
        </is>
      </c>
    </row>
    <row r="59" ht="30" customHeight="1">
      <c r="A59" s="4" t="inlineStr">
        <is>
          <t>Protsessorlar</t>
        </is>
      </c>
      <c r="B59" s="4" t="inlineStr">
        <is>
          <t>Intel Xeon-Silver 4210R (2.4GHz/10-core/100W)</t>
        </is>
      </c>
      <c r="C59" s="5" t="inlineStr"/>
      <c r="D59" s="5" t="n">
        <v>6158992</v>
      </c>
      <c r="E59" s="5" t="n">
        <v>5499100</v>
      </c>
      <c r="F59" s="5" t="inlineStr"/>
      <c r="G59" s="5" t="inlineStr">
        <is>
          <t>Intel</t>
        </is>
      </c>
      <c r="H59" s="5">
        <f>HYPERLINK("https://itrix.uz/product/336", "🔗 Mahsulot sotib olish")</f>
        <v/>
      </c>
      <c r="I59" t="inlineStr">
        <is>
          <t>2-336-338</t>
        </is>
      </c>
    </row>
    <row r="60" ht="30" customHeight="1">
      <c r="A60" s="4" t="inlineStr">
        <is>
          <t>Aksessuarlar</t>
        </is>
      </c>
      <c r="B60" s="4" t="inlineStr">
        <is>
          <t>SFP-64G31-LWL 64G optik transiver moduli, 1310nm, 10km, LC ulagich, SMF</t>
        </is>
      </c>
      <c r="C60" s="5" t="inlineStr"/>
      <c r="D60" s="5" t="n">
        <v>14622272</v>
      </c>
      <c r="E60" s="5" t="n">
        <v>13055600</v>
      </c>
      <c r="F60" s="5" t="inlineStr"/>
      <c r="G60" s="5" t="inlineStr"/>
      <c r="H60" s="5">
        <f>HYPERLINK("https://itrix.uz/product/580", "🔗 Mahsulot sotib olish")</f>
        <v/>
      </c>
      <c r="I60" t="inlineStr">
        <is>
          <t>2-580-539</t>
        </is>
      </c>
    </row>
    <row r="61" ht="30" customHeight="1">
      <c r="A61" s="4" t="inlineStr">
        <is>
          <t>Protsessorlar</t>
        </is>
      </c>
      <c r="B61" s="4" t="inlineStr">
        <is>
          <t>Intel Xeon Silver 4314 (2.4GHz/16-core/135W)</t>
        </is>
      </c>
      <c r="C61" s="5" t="inlineStr"/>
      <c r="D61" s="5" t="n">
        <v>10269728</v>
      </c>
      <c r="E61" s="5" t="n">
        <v>9169400</v>
      </c>
      <c r="F61" s="5" t="inlineStr"/>
      <c r="G61" s="5" t="inlineStr">
        <is>
          <t>Intel</t>
        </is>
      </c>
      <c r="H61" s="5">
        <f>HYPERLINK("https://itrix.uz/product/341", "🔗 Mahsulot sotib olish")</f>
        <v/>
      </c>
      <c r="I61" t="inlineStr">
        <is>
          <t>2-341-343</t>
        </is>
      </c>
    </row>
    <row r="62" ht="30" customHeight="1">
      <c r="A62" s="4" t="inlineStr">
        <is>
          <t>HDD qattiq disklari</t>
        </is>
      </c>
      <c r="B62" s="4" t="inlineStr">
        <is>
          <t>DELL 12TB SAS 7200 rpm (3.5", LFF) qattiq diski</t>
        </is>
      </c>
      <c r="C62" s="5" t="inlineStr"/>
      <c r="D62" s="5" t="n">
        <v>5817616</v>
      </c>
      <c r="E62" s="5" t="n">
        <v>5194300</v>
      </c>
      <c r="F62" s="5" t="inlineStr"/>
      <c r="G62" s="5" t="inlineStr">
        <is>
          <t>Dell</t>
        </is>
      </c>
      <c r="H62" s="5">
        <f>HYPERLINK("https://itrix.uz/product/37", "🔗 Mahsulot sotib olish")</f>
        <v/>
      </c>
      <c r="I62" t="inlineStr">
        <is>
          <t>2-37-43</t>
        </is>
      </c>
    </row>
    <row r="63" ht="30" customHeight="1">
      <c r="A63" s="4" t="inlineStr">
        <is>
          <t>Protsessorlar</t>
        </is>
      </c>
      <c r="B63" s="4" t="inlineStr">
        <is>
          <t>Intel Xeon Silver 4310 (2.1GHz/12-Core/120W)</t>
        </is>
      </c>
      <c r="C63" s="5" t="inlineStr"/>
      <c r="D63" s="5" t="n">
        <v>8306816</v>
      </c>
      <c r="E63" s="5" t="n">
        <v>7416800</v>
      </c>
      <c r="F63" s="5" t="inlineStr"/>
      <c r="G63" s="5" t="inlineStr">
        <is>
          <t>Intel</t>
        </is>
      </c>
      <c r="H63" s="5">
        <f>HYPERLINK("https://itrix.uz/product/340", "🔗 Mahsulot sotib olish")</f>
        <v/>
      </c>
      <c r="I63" t="inlineStr">
        <is>
          <t>2-340-342</t>
        </is>
      </c>
    </row>
    <row r="64" ht="30" customHeight="1">
      <c r="A64" s="4" t="inlineStr">
        <is>
          <t>Protsessorlar</t>
        </is>
      </c>
      <c r="B64" s="4" t="inlineStr">
        <is>
          <t>Intel Xeon-Gold 5218R (2.1GHz/20-core/125W)</t>
        </is>
      </c>
      <c r="C64" s="5" t="inlineStr"/>
      <c r="D64" s="5" t="n">
        <v>12317984</v>
      </c>
      <c r="E64" s="5" t="n">
        <v>10998200</v>
      </c>
      <c r="F64" s="5" t="inlineStr"/>
      <c r="G64" s="5" t="inlineStr">
        <is>
          <t>Intel</t>
        </is>
      </c>
      <c r="H64" s="5">
        <f>HYPERLINK("https://itrix.uz/product/344", "🔗 Mahsulot sotib olish")</f>
        <v/>
      </c>
      <c r="I64" t="inlineStr">
        <is>
          <t>2-344-346</t>
        </is>
      </c>
    </row>
    <row r="65" ht="30" customHeight="1">
      <c r="A65" s="4" t="inlineStr">
        <is>
          <t>Protsessorlar</t>
        </is>
      </c>
      <c r="B65" s="4" t="inlineStr">
        <is>
          <t>Intel Xeon-Silver 4214 (2.2GHz/12-core/85W)</t>
        </is>
      </c>
      <c r="C65" s="5" t="inlineStr"/>
      <c r="D65" s="5" t="n">
        <v>2773680</v>
      </c>
      <c r="E65" s="5" t="n">
        <v>2476500</v>
      </c>
      <c r="F65" s="5" t="inlineStr"/>
      <c r="G65" s="5" t="inlineStr">
        <is>
          <t>Intel</t>
        </is>
      </c>
      <c r="H65" s="5">
        <f>HYPERLINK("https://itrix.uz/product/337", "🔗 Mahsulot sotib olish")</f>
        <v/>
      </c>
      <c r="I65" t="inlineStr">
        <is>
          <t>2-337-339</t>
        </is>
      </c>
    </row>
    <row r="66" ht="30" customHeight="1">
      <c r="A66" s="4" t="inlineStr">
        <is>
          <t>Protsessorlar</t>
        </is>
      </c>
      <c r="B66" s="4" t="inlineStr">
        <is>
          <t>Intel Xeon-Silver 4214R (2.4GHz/12-core/100W)</t>
        </is>
      </c>
      <c r="C66" s="5" t="inlineStr"/>
      <c r="D66" s="5" t="n">
        <v>9586976</v>
      </c>
      <c r="E66" s="5" t="n">
        <v>8559800</v>
      </c>
      <c r="F66" s="5" t="inlineStr"/>
      <c r="G66" s="5" t="inlineStr">
        <is>
          <t>Intel</t>
        </is>
      </c>
      <c r="H66" s="5">
        <f>HYPERLINK("https://itrix.uz/product/338", "🔗 Mahsulot sotib olish")</f>
        <v/>
      </c>
      <c r="I66" t="inlineStr">
        <is>
          <t>2-338-340</t>
        </is>
      </c>
    </row>
    <row r="67" ht="30" customHeight="1">
      <c r="A67" s="4" t="inlineStr">
        <is>
          <t>SSD qattiq disklari</t>
        </is>
      </c>
      <c r="B67" s="4" t="inlineStr">
        <is>
          <t>Samsung PM983 7.68TB SATA 6Gbps 2.5 dyuymli SSD disk</t>
        </is>
      </c>
      <c r="C67" s="5" t="inlineStr"/>
      <c r="D67" s="5" t="n">
        <v>11521440</v>
      </c>
      <c r="E67" s="5" t="n">
        <v>10287000</v>
      </c>
      <c r="F67" s="5" t="inlineStr"/>
      <c r="G67" s="5" t="inlineStr">
        <is>
          <t>Samsung</t>
        </is>
      </c>
      <c r="H67" s="5">
        <f>HYPERLINK("https://itrix.uz/product/529", "🔗 Mahsulot sotib olish")</f>
        <v/>
      </c>
      <c r="I67" t="inlineStr">
        <is>
          <t>2-529-502</t>
        </is>
      </c>
    </row>
    <row r="68" ht="30" customHeight="1">
      <c r="A68" s="4" t="inlineStr">
        <is>
          <t>Protsessorlar</t>
        </is>
      </c>
      <c r="B68" s="4" t="inlineStr">
        <is>
          <t>Intel Xeon Gold 6338 (2GHz/32-core/205W)</t>
        </is>
      </c>
      <c r="C68" s="5" t="inlineStr"/>
      <c r="D68" s="5" t="n">
        <v>30894528</v>
      </c>
      <c r="E68" s="5" t="n">
        <v>27584400</v>
      </c>
      <c r="F68" s="5" t="inlineStr"/>
      <c r="G68" s="5" t="inlineStr">
        <is>
          <t>Intel</t>
        </is>
      </c>
      <c r="H68" s="5">
        <f>HYPERLINK("https://itrix.uz/product/358", "🔗 Mahsulot sotib olish")</f>
        <v/>
      </c>
      <c r="I68" t="inlineStr">
        <is>
          <t>2-358-360</t>
        </is>
      </c>
    </row>
    <row r="69" ht="30" customHeight="1">
      <c r="A69" s="4" t="inlineStr">
        <is>
          <t>Aksessuarlar</t>
        </is>
      </c>
      <c r="B69" s="4" t="inlineStr">
        <is>
          <t>1m LC–LC OS2 Single Mode zirhli optik patch kabel (ichki OFCR, 3.0mm)</t>
        </is>
      </c>
      <c r="C69" s="5" t="inlineStr"/>
      <c r="D69" s="5" t="n">
        <v>1564640</v>
      </c>
      <c r="E69" s="5" t="n">
        <v>1397000</v>
      </c>
      <c r="F69" s="5" t="inlineStr"/>
      <c r="G69" s="5" t="inlineStr"/>
      <c r="H69" s="5">
        <f>HYPERLINK("https://itrix.uz/product/581", "🔗 Mahsulot sotib olish")</f>
        <v/>
      </c>
      <c r="I69" t="inlineStr">
        <is>
          <t>2-581-540</t>
        </is>
      </c>
    </row>
    <row r="70" ht="30" customHeight="1">
      <c r="A70" s="4" t="inlineStr">
        <is>
          <t>Protsessorlar</t>
        </is>
      </c>
      <c r="B70" s="4" t="inlineStr">
        <is>
          <t>Intel Xeon Silver 4316 (2.3GHz/20-core/150W)</t>
        </is>
      </c>
      <c r="C70" s="5" t="inlineStr"/>
      <c r="D70" s="5" t="n">
        <v>17922240</v>
      </c>
      <c r="E70" s="5" t="n">
        <v>16002000</v>
      </c>
      <c r="F70" s="5" t="inlineStr"/>
      <c r="G70" s="5" t="inlineStr">
        <is>
          <t>Intel</t>
        </is>
      </c>
      <c r="H70" s="5">
        <f>HYPERLINK("https://itrix.uz/product/342", "🔗 Mahsulot sotib olish")</f>
        <v/>
      </c>
      <c r="I70" t="inlineStr">
        <is>
          <t>2-342-344</t>
        </is>
      </c>
    </row>
    <row r="71" ht="30" customHeight="1">
      <c r="A71" s="4" t="inlineStr">
        <is>
          <t>Aksessuarlar</t>
        </is>
      </c>
      <c r="B71" s="4" t="inlineStr">
        <is>
          <t>HPE Mellanox MCX631102AS-ADAT Ethernet 10/25Gb 2-port SFP tarmoq adapteri</t>
        </is>
      </c>
      <c r="C71" s="5" t="inlineStr"/>
      <c r="D71" s="5" t="n">
        <v>7282688</v>
      </c>
      <c r="E71" s="5" t="n">
        <v>6502400</v>
      </c>
      <c r="F71" s="5" t="inlineStr"/>
      <c r="G71" s="5" t="inlineStr">
        <is>
          <t>HPE</t>
        </is>
      </c>
      <c r="H71" s="5">
        <f>HYPERLINK("https://itrix.uz/product/136", "🔗 Mahsulot sotib olish")</f>
        <v/>
      </c>
      <c r="I71" t="inlineStr">
        <is>
          <t>2-136-142</t>
        </is>
      </c>
    </row>
    <row r="72" ht="30" customHeight="1">
      <c r="A72" s="4" t="inlineStr">
        <is>
          <t>SSD qattiq disklari</t>
        </is>
      </c>
      <c r="B72" s="4" t="inlineStr">
        <is>
          <t>DELL 1.92TB / SATA / RI / SSD</t>
        </is>
      </c>
      <c r="C72" s="5" t="inlineStr"/>
      <c r="D72" s="5" t="n">
        <v>11635232</v>
      </c>
      <c r="E72" s="5" t="n">
        <v>10388600</v>
      </c>
      <c r="F72" s="5" t="inlineStr"/>
      <c r="G72" s="5" t="inlineStr">
        <is>
          <t>Dell</t>
        </is>
      </c>
      <c r="H72" s="5">
        <f>HYPERLINK("https://itrix.uz/product/54", "🔗 Mahsulot sotib olish")</f>
        <v/>
      </c>
      <c r="I72" t="inlineStr">
        <is>
          <t>2-54-60</t>
        </is>
      </c>
    </row>
    <row r="73" ht="30" customHeight="1">
      <c r="A73" s="4" t="inlineStr">
        <is>
          <t>Protsessorlar</t>
        </is>
      </c>
      <c r="B73" s="4" t="inlineStr">
        <is>
          <t>Intel Xeon Gold 5315Y (3.2GHz/8-core/140W)</t>
        </is>
      </c>
      <c r="C73" s="5" t="inlineStr"/>
      <c r="D73" s="5" t="n">
        <v>19828256</v>
      </c>
      <c r="E73" s="5" t="n">
        <v>17703800</v>
      </c>
      <c r="F73" s="5" t="inlineStr"/>
      <c r="G73" s="5" t="inlineStr">
        <is>
          <t>Intel</t>
        </is>
      </c>
      <c r="H73" s="5">
        <f>HYPERLINK("https://itrix.uz/product/347", "🔗 Mahsulot sotib olish")</f>
        <v/>
      </c>
      <c r="I73" t="inlineStr">
        <is>
          <t>2-347-349</t>
        </is>
      </c>
    </row>
    <row r="74" ht="30" customHeight="1">
      <c r="A74" s="4" t="inlineStr">
        <is>
          <t>HDD qattiq disklari</t>
        </is>
      </c>
      <c r="B74" s="4" t="inlineStr">
        <is>
          <t>WD Red Plus 4TB (SATA III, 5400 rpm, 3.5") qattiq diski</t>
        </is>
      </c>
      <c r="C74" s="5" t="inlineStr"/>
      <c r="D74" s="5" t="n">
        <v>1778000</v>
      </c>
      <c r="E74" s="5" t="n">
        <v>1587500</v>
      </c>
      <c r="F74" s="5" t="inlineStr"/>
      <c r="G74" s="5" t="inlineStr">
        <is>
          <t>Western Digital</t>
        </is>
      </c>
      <c r="H74" s="5">
        <f>HYPERLINK("https://itrix.uz/product/39", "🔗 Mahsulot sotib olish")</f>
        <v/>
      </c>
      <c r="I74" t="inlineStr">
        <is>
          <t>2-39-45</t>
        </is>
      </c>
    </row>
    <row r="75" ht="30" customHeight="1">
      <c r="A75" s="4" t="inlineStr">
        <is>
          <t>NVME</t>
        </is>
      </c>
      <c r="B75" s="4" t="inlineStr">
        <is>
          <t>1.6TB PCI-e NVMe Mix Use Express Flash xotira qurilmasi</t>
        </is>
      </c>
      <c r="C75" s="5" t="inlineStr"/>
      <c r="D75" s="5" t="n">
        <v>10198608</v>
      </c>
      <c r="E75" s="5" t="n">
        <v>9105900</v>
      </c>
      <c r="F75" s="5" t="inlineStr"/>
      <c r="G75" s="5" t="inlineStr">
        <is>
          <t>Dell</t>
        </is>
      </c>
      <c r="H75" s="5">
        <f>HYPERLINK("https://itrix.uz/product/96", "🔗 Mahsulot sotib olish")</f>
        <v/>
      </c>
      <c r="I75" t="inlineStr">
        <is>
          <t>2-96-102</t>
        </is>
      </c>
    </row>
    <row r="76" ht="30" customHeight="1">
      <c r="A76" s="4" t="inlineStr">
        <is>
          <t>HDD qattiq disklari</t>
        </is>
      </c>
      <c r="B76" s="4" t="inlineStr">
        <is>
          <t>HPE 2.4TB SAS 10000 rpm (2.5", SFF) qattiq diski</t>
        </is>
      </c>
      <c r="C76" s="5" t="inlineStr"/>
      <c r="D76" s="5" t="n">
        <v>4110736</v>
      </c>
      <c r="E76" s="5" t="n">
        <v>3670300</v>
      </c>
      <c r="F76" s="5" t="inlineStr"/>
      <c r="G76" s="5" t="inlineStr">
        <is>
          <t>HPE</t>
        </is>
      </c>
      <c r="H76" s="5">
        <f>HYPERLINK("https://itrix.uz/product/42", "🔗 Mahsulot sotib olish")</f>
        <v/>
      </c>
      <c r="I76" t="inlineStr">
        <is>
          <t>2-42-48</t>
        </is>
      </c>
    </row>
    <row r="77" ht="30" customHeight="1">
      <c r="A77" s="4" t="inlineStr">
        <is>
          <t>Tezkor xotira (RAM)</t>
        </is>
      </c>
      <c r="B77" s="4" t="inlineStr">
        <is>
          <t>HPE 128GB (1x128GB) DDR5-6400 xotira moduli, Dual Rank, Registered Smart Memory</t>
        </is>
      </c>
      <c r="C77" s="5" t="inlineStr"/>
      <c r="D77" s="5" t="n">
        <v>29159200</v>
      </c>
      <c r="E77" s="5" t="n">
        <v>26035000</v>
      </c>
      <c r="F77" s="5" t="inlineStr"/>
      <c r="G77" s="5" t="inlineStr"/>
      <c r="H77" s="5">
        <f>HYPERLINK("https://itrix.uz/product/539", "🔗 Mahsulot sotib olish")</f>
        <v/>
      </c>
      <c r="I77" t="inlineStr">
        <is>
          <t>2-539-504</t>
        </is>
      </c>
    </row>
    <row r="78" ht="30" customHeight="1">
      <c r="A78" s="4" t="inlineStr">
        <is>
          <t>SSD qattiq disklari</t>
        </is>
      </c>
      <c r="B78" s="4" t="inlineStr">
        <is>
          <t>HPE 960GB SATA RI SSD xotira qurilmasi</t>
        </is>
      </c>
      <c r="C78" s="5" t="inlineStr"/>
      <c r="D78" s="5" t="n">
        <v>5291328</v>
      </c>
      <c r="E78" s="5" t="n">
        <v>4724400</v>
      </c>
      <c r="F78" s="5" t="inlineStr"/>
      <c r="G78" s="5" t="inlineStr">
        <is>
          <t>HPE</t>
        </is>
      </c>
      <c r="H78" s="5">
        <f>HYPERLINK("https://itrix.uz/product/73", "🔗 Mahsulot sotib olish")</f>
        <v/>
      </c>
      <c r="I78" t="inlineStr">
        <is>
          <t>2-73-79</t>
        </is>
      </c>
    </row>
    <row r="79" ht="30" customHeight="1">
      <c r="A79" s="4" t="inlineStr">
        <is>
          <t>Tezkor xotira (RAM)</t>
        </is>
      </c>
      <c r="B79" s="4" t="inlineStr">
        <is>
          <t>Samsung 32GB DDR4-3200 UDIMM operativ xotira</t>
        </is>
      </c>
      <c r="C79" s="5" t="inlineStr"/>
      <c r="D79" s="5" t="n">
        <v>2745232</v>
      </c>
      <c r="E79" s="5" t="n">
        <v>2451100</v>
      </c>
      <c r="F79" s="5" t="inlineStr"/>
      <c r="G79" s="5" t="inlineStr">
        <is>
          <t>Samsung</t>
        </is>
      </c>
      <c r="H79" s="5">
        <f>HYPERLINK("https://itrix.uz/product/78", "🔗 Mahsulot sotib olish")</f>
        <v/>
      </c>
      <c r="I79" t="inlineStr">
        <is>
          <t>2-78-84</t>
        </is>
      </c>
    </row>
    <row r="80" ht="30" customHeight="1">
      <c r="A80" s="4" t="inlineStr">
        <is>
          <t>HDD qattiq disklari</t>
        </is>
      </c>
      <c r="B80" s="4" t="inlineStr">
        <is>
          <t>Seagate Exos X16 12TB SATA 7200 rpm (3.5", LFF) qattiq diski</t>
        </is>
      </c>
      <c r="C80" s="5" t="inlineStr"/>
      <c r="D80" s="5" t="n">
        <v>5277104</v>
      </c>
      <c r="E80" s="5" t="n">
        <v>4711700</v>
      </c>
      <c r="F80" s="5" t="inlineStr"/>
      <c r="G80" s="5" t="inlineStr">
        <is>
          <t>Seagate</t>
        </is>
      </c>
      <c r="H80" s="5">
        <f>HYPERLINK("https://itrix.uz/product/43", "🔗 Mahsulot sotib olish")</f>
        <v/>
      </c>
      <c r="I80" t="inlineStr">
        <is>
          <t>2-43-49</t>
        </is>
      </c>
    </row>
    <row r="81" ht="30" customHeight="1">
      <c r="A81" s="4" t="inlineStr">
        <is>
          <t>HDD qattiq disklari</t>
        </is>
      </c>
      <c r="B81" s="4" t="inlineStr">
        <is>
          <t>DELL 2TB SAS 7200 rpm (3.5", LFF) qattiq diski</t>
        </is>
      </c>
      <c r="C81" s="5" t="inlineStr"/>
      <c r="D81" s="5" t="n">
        <v>2745232</v>
      </c>
      <c r="E81" s="5" t="n">
        <v>2451100</v>
      </c>
      <c r="F81" s="5" t="inlineStr"/>
      <c r="G81" s="5" t="inlineStr">
        <is>
          <t>Dell</t>
        </is>
      </c>
      <c r="H81" s="5">
        <f>HYPERLINK("https://itrix.uz/product/46", "🔗 Mahsulot sotib olish")</f>
        <v/>
      </c>
      <c r="I81" t="inlineStr">
        <is>
          <t>2-46-52</t>
        </is>
      </c>
    </row>
    <row r="82" ht="30" customHeight="1">
      <c r="A82" s="4" t="inlineStr">
        <is>
          <t>Tezkor xotira (RAM)</t>
        </is>
      </c>
      <c r="B82" s="4" t="inlineStr">
        <is>
          <t>HPE 32GB DDR4-3200 operativ xotira</t>
        </is>
      </c>
      <c r="C82" s="5" t="inlineStr"/>
      <c r="D82" s="5" t="n">
        <v>1607312</v>
      </c>
      <c r="E82" s="5" t="n">
        <v>1435100</v>
      </c>
      <c r="F82" s="5" t="inlineStr"/>
      <c r="G82" s="5" t="inlineStr">
        <is>
          <t>HPE</t>
        </is>
      </c>
      <c r="H82" s="5">
        <f>HYPERLINK("https://itrix.uz/product/88", "🔗 Mahsulot sotib olish")</f>
        <v/>
      </c>
      <c r="I82" t="inlineStr">
        <is>
          <t>2-88-94</t>
        </is>
      </c>
    </row>
    <row r="83" ht="30" customHeight="1">
      <c r="A83" s="4" t="inlineStr">
        <is>
          <t>SSD qattiq disklari</t>
        </is>
      </c>
      <c r="B83" s="4" t="inlineStr">
        <is>
          <t>HPE 480GB PM1633a SAS RI SSD xotira qurilmasi</t>
        </is>
      </c>
      <c r="C83" s="5" t="inlineStr"/>
      <c r="D83" s="5" t="n">
        <v>5476240</v>
      </c>
      <c r="E83" s="5" t="n">
        <v>4889500</v>
      </c>
      <c r="F83" s="5" t="inlineStr"/>
      <c r="G83" s="5" t="inlineStr">
        <is>
          <t>HPE</t>
        </is>
      </c>
      <c r="H83" s="5">
        <f>HYPERLINK("https://itrix.uz/product/75", "🔗 Mahsulot sotib olish")</f>
        <v/>
      </c>
      <c r="I83" t="inlineStr">
        <is>
          <t>2-75-81</t>
        </is>
      </c>
    </row>
    <row r="84" ht="30" customHeight="1">
      <c r="A84" s="4" t="inlineStr">
        <is>
          <t>Tezkor xotira (RAM)</t>
        </is>
      </c>
      <c r="B84" s="4" t="inlineStr">
        <is>
          <t>Samsung / SK hynix 16GB DDR4-2933 operativ xotira</t>
        </is>
      </c>
      <c r="C84" s="5" t="inlineStr"/>
      <c r="D84" s="5" t="n">
        <v>1365504</v>
      </c>
      <c r="E84" s="5" t="n">
        <v>1219200</v>
      </c>
      <c r="F84" s="5" t="inlineStr"/>
      <c r="G84" s="5" t="inlineStr">
        <is>
          <t>Samsung</t>
        </is>
      </c>
      <c r="H84" s="5">
        <f>HYPERLINK("https://itrix.uz/product/84", "🔗 Mahsulot sotib olish")</f>
        <v/>
      </c>
      <c r="I84" t="inlineStr">
        <is>
          <t>2-84-90</t>
        </is>
      </c>
    </row>
    <row r="85" ht="30" customHeight="1">
      <c r="A85" s="4" t="inlineStr">
        <is>
          <t>Korpuslar</t>
        </is>
      </c>
      <c r="B85" s="4" t="inlineStr">
        <is>
          <t xml:space="preserve"> HPE Apollo 4510 Gen10 4U 60 LFF serveri</t>
        </is>
      </c>
      <c r="C85" s="5" t="inlineStr"/>
      <c r="D85" s="5" t="n">
        <v>0</v>
      </c>
      <c r="E85" s="5" t="n">
        <v>0</v>
      </c>
      <c r="F85" s="5" t="inlineStr"/>
      <c r="G85" s="5" t="inlineStr">
        <is>
          <t>HPE</t>
        </is>
      </c>
      <c r="H85" s="5">
        <f>HYPERLINK("https://itrix.uz/product/445", "🔗 Mahsulot sotib olish")</f>
        <v/>
      </c>
      <c r="I85" t="inlineStr">
        <is>
          <t>2-445-429</t>
        </is>
      </c>
    </row>
    <row r="86" ht="30" customHeight="1">
      <c r="A86" s="4" t="inlineStr">
        <is>
          <t>HDD qattiq disklari</t>
        </is>
      </c>
      <c r="B86" s="4" t="inlineStr">
        <is>
          <t>DELL 18TB SAS 7200 rpm (3.5", LFF) qattiq diski</t>
        </is>
      </c>
      <c r="C86" s="5" t="inlineStr"/>
      <c r="D86" s="5" t="n">
        <v>6841744</v>
      </c>
      <c r="E86" s="5" t="n">
        <v>6108700</v>
      </c>
      <c r="F86" s="5" t="inlineStr"/>
      <c r="G86" s="5" t="inlineStr">
        <is>
          <t>Dell</t>
        </is>
      </c>
      <c r="H86" s="5">
        <f>HYPERLINK("https://itrix.uz/product/48", "🔗 Mahsulot sotib olish")</f>
        <v/>
      </c>
      <c r="I86" t="inlineStr">
        <is>
          <t>2-48-54</t>
        </is>
      </c>
    </row>
    <row r="87" ht="30" customHeight="1">
      <c r="A87" s="4" t="inlineStr">
        <is>
          <t>Aksessuarlar</t>
        </is>
      </c>
      <c r="B87" s="4" t="inlineStr">
        <is>
          <t xml:space="preserve">HPE Broadcom BCM57416 Ethernet 10Gb 2-port BASE-T tarmoq adapteri </t>
        </is>
      </c>
      <c r="C87" s="5" t="inlineStr"/>
      <c r="D87" s="5" t="n">
        <v>5106416</v>
      </c>
      <c r="E87" s="5" t="n">
        <v>4559300</v>
      </c>
      <c r="F87" s="5" t="inlineStr"/>
      <c r="G87" s="5" t="inlineStr">
        <is>
          <t>HPE</t>
        </is>
      </c>
      <c r="H87" s="5">
        <f>HYPERLINK("https://itrix.uz/product/134", "🔗 Mahsulot sotib olish")</f>
        <v/>
      </c>
      <c r="I87" t="inlineStr">
        <is>
          <t>2-134-140</t>
        </is>
      </c>
    </row>
    <row r="88" ht="30" customHeight="1">
      <c r="A88" s="4" t="inlineStr">
        <is>
          <t>Tezkor xotira (RAM)</t>
        </is>
      </c>
      <c r="B88" s="4" t="inlineStr">
        <is>
          <t>HPE 8GB DDR4-3200 STND Kit operativ xotira</t>
        </is>
      </c>
      <c r="C88" s="5" t="inlineStr"/>
      <c r="D88" s="5" t="n">
        <v>1095248</v>
      </c>
      <c r="E88" s="5" t="n">
        <v>977900</v>
      </c>
      <c r="F88" s="5" t="inlineStr"/>
      <c r="G88" s="5" t="inlineStr">
        <is>
          <t>HPE</t>
        </is>
      </c>
      <c r="H88" s="5">
        <f>HYPERLINK("https://itrix.uz/product/87", "🔗 Mahsulot sotib olish")</f>
        <v/>
      </c>
      <c r="I88" t="inlineStr">
        <is>
          <t>2-87-93</t>
        </is>
      </c>
    </row>
    <row r="89" ht="30" customHeight="1">
      <c r="A89" s="4" t="inlineStr">
        <is>
          <t>Protsessorlar</t>
        </is>
      </c>
      <c r="B89" s="4" t="inlineStr">
        <is>
          <t>Intel Xeon Gold 5318Y (2.1GHz/24-core/165W)</t>
        </is>
      </c>
      <c r="C89" s="5" t="inlineStr"/>
      <c r="D89" s="5" t="n">
        <v>19230848</v>
      </c>
      <c r="E89" s="5" t="n">
        <v>17170400</v>
      </c>
      <c r="F89" s="5" t="inlineStr"/>
      <c r="G89" s="5" t="inlineStr">
        <is>
          <t>Intel</t>
        </is>
      </c>
      <c r="H89" s="5">
        <f>HYPERLINK("https://itrix.uz/product/349", "🔗 Mahsulot sotib olish")</f>
        <v/>
      </c>
      <c r="I89" t="inlineStr">
        <is>
          <t>2-349-351</t>
        </is>
      </c>
    </row>
    <row r="90" ht="30" customHeight="1">
      <c r="A90" s="4" t="inlineStr">
        <is>
          <t>Aksessuarlar</t>
        </is>
      </c>
      <c r="B90" s="4" t="inlineStr">
        <is>
          <t xml:space="preserve"> Synology RKS1317 stoykaga o‘rnatish to‘plami</t>
        </is>
      </c>
      <c r="C90" s="5" t="inlineStr"/>
      <c r="D90" s="5" t="n">
        <v>1550416</v>
      </c>
      <c r="E90" s="5" t="n">
        <v>1384300</v>
      </c>
      <c r="F90" s="5" t="inlineStr"/>
      <c r="G90" s="5" t="inlineStr">
        <is>
          <t>Synology</t>
        </is>
      </c>
      <c r="H90" s="5">
        <f>HYPERLINK("https://itrix.uz/product/281", "🔗 Mahsulot sotib olish")</f>
        <v/>
      </c>
      <c r="I90" t="inlineStr">
        <is>
          <t>2-281-283</t>
        </is>
      </c>
    </row>
    <row r="91" ht="30" customHeight="1">
      <c r="A91" s="4" t="inlineStr">
        <is>
          <t>RAID-kontroller</t>
        </is>
      </c>
      <c r="B91" s="4" t="inlineStr">
        <is>
          <t>RAID kontroller HPE MR416i-p Gen11 x16 Lanes 8GB Cache PCI SPDM Plug-in Storage Controller</t>
        </is>
      </c>
      <c r="C91" s="5" t="inlineStr"/>
      <c r="D91" s="5" t="n">
        <v>15831</v>
      </c>
      <c r="E91" s="5" t="n">
        <v>14135</v>
      </c>
      <c r="F91" s="5" t="inlineStr"/>
      <c r="G91" s="5" t="inlineStr">
        <is>
          <t>HPE</t>
        </is>
      </c>
      <c r="H91" s="5">
        <f>HYPERLINK("https://itrix.uz/product/524", "🔗 Mahsulot sotib olish")</f>
        <v/>
      </c>
      <c r="I91" t="inlineStr">
        <is>
          <t>2-524-498</t>
        </is>
      </c>
    </row>
    <row r="92" ht="30" customHeight="1">
      <c r="A92" s="4" t="inlineStr">
        <is>
          <t>Tezkor xotira (RAM)</t>
        </is>
      </c>
      <c r="B92" s="4" t="inlineStr">
        <is>
          <t>HPE 64GB DDR4-3200 operativ xotira</t>
        </is>
      </c>
      <c r="C92" s="5" t="inlineStr"/>
      <c r="D92" s="5" t="n">
        <v>2631440</v>
      </c>
      <c r="E92" s="5" t="n">
        <v>2349500</v>
      </c>
      <c r="F92" s="5" t="inlineStr"/>
      <c r="G92" s="5" t="inlineStr">
        <is>
          <t>HPE</t>
        </is>
      </c>
      <c r="H92" s="5">
        <f>HYPERLINK("https://itrix.uz/product/94", "🔗 Mahsulot sotib olish")</f>
        <v/>
      </c>
      <c r="I92" t="inlineStr">
        <is>
          <t>2-94-100</t>
        </is>
      </c>
    </row>
    <row r="93" ht="30" customHeight="1">
      <c r="A93" s="4" t="inlineStr">
        <is>
          <t>Aksessuarlar</t>
        </is>
      </c>
      <c r="B93" s="4" t="inlineStr">
        <is>
          <t>DELL iDRAC9 Enterprise masofaviy kirish boshqaruvchisi</t>
        </is>
      </c>
      <c r="C93" s="5" t="inlineStr"/>
      <c r="D93" s="5" t="n">
        <v>298704</v>
      </c>
      <c r="E93" s="5" t="n">
        <v>266700</v>
      </c>
      <c r="F93" s="5" t="inlineStr"/>
      <c r="G93" s="5" t="inlineStr">
        <is>
          <t>Dell</t>
        </is>
      </c>
      <c r="H93" s="5">
        <f>HYPERLINK("https://itrix.uz/product/137", "🔗 Mahsulot sotib olish")</f>
        <v/>
      </c>
      <c r="I93" t="inlineStr">
        <is>
          <t>2-137-143</t>
        </is>
      </c>
    </row>
    <row r="94" ht="30" customHeight="1">
      <c r="A94" s="4" t="inlineStr">
        <is>
          <t>SSD qattiq disklari</t>
        </is>
      </c>
      <c r="B94" s="4" t="inlineStr">
        <is>
          <t>HPE 3.84TB NVMe RI SAS SSD</t>
        </is>
      </c>
      <c r="C94" s="5" t="inlineStr"/>
      <c r="D94" s="5" t="n">
        <v>20539456</v>
      </c>
      <c r="E94" s="5" t="n">
        <v>18338800</v>
      </c>
      <c r="F94" s="5" t="inlineStr"/>
      <c r="G94" s="5" t="inlineStr">
        <is>
          <t>HPE</t>
        </is>
      </c>
      <c r="H94" s="5">
        <f>HYPERLINK("https://itrix.uz/product/51", "🔗 Mahsulot sotib olish")</f>
        <v/>
      </c>
      <c r="I94" t="inlineStr">
        <is>
          <t>2-51-57</t>
        </is>
      </c>
    </row>
    <row r="95" ht="30" customHeight="1">
      <c r="A95" s="4" t="inlineStr">
        <is>
          <t>Aksessuarlar</t>
        </is>
      </c>
      <c r="B95" s="4" t="inlineStr">
        <is>
          <t>HPE Intel l350-T4 ethernet 1GB 4-port BASE-T tarmoq adapteri</t>
        </is>
      </c>
      <c r="C95" s="5" t="inlineStr"/>
      <c r="D95" s="5" t="n">
        <v>583184</v>
      </c>
      <c r="E95" s="5" t="n">
        <v>520700</v>
      </c>
      <c r="F95" s="5" t="inlineStr"/>
      <c r="G95" s="5" t="inlineStr">
        <is>
          <t>HPE</t>
        </is>
      </c>
      <c r="H95" s="5">
        <f>HYPERLINK("https://itrix.uz/product/135", "🔗 Mahsulot sotib olish")</f>
        <v/>
      </c>
      <c r="I95" t="inlineStr">
        <is>
          <t>2-135-141</t>
        </is>
      </c>
    </row>
    <row r="96" ht="30" customHeight="1">
      <c r="A96" s="4" t="inlineStr">
        <is>
          <t>Protsessorlar</t>
        </is>
      </c>
      <c r="B96" s="4" t="inlineStr">
        <is>
          <t>Intel Xeon Gold 5320 (2.2GHz/26-core/185W)</t>
        </is>
      </c>
      <c r="C96" s="5" t="inlineStr"/>
      <c r="D96" s="5" t="n">
        <v>18476976</v>
      </c>
      <c r="E96" s="5" t="n">
        <v>16497300</v>
      </c>
      <c r="F96" s="5" t="inlineStr"/>
      <c r="G96" s="5" t="inlineStr">
        <is>
          <t>Intel</t>
        </is>
      </c>
      <c r="H96" s="5">
        <f>HYPERLINK("https://itrix.uz/product/350", "🔗 Mahsulot sotib olish")</f>
        <v/>
      </c>
      <c r="I96" t="inlineStr">
        <is>
          <t>2-350-352</t>
        </is>
      </c>
    </row>
    <row r="97" ht="30" customHeight="1">
      <c r="A97" s="4" t="inlineStr">
        <is>
          <t>RAID-kontroller</t>
        </is>
      </c>
      <c r="B97" s="4" t="inlineStr">
        <is>
          <t>DELL PERC H745 4Gb RAID 12Gb/s apparat RAID nazoratchisi</t>
        </is>
      </c>
      <c r="C97" s="5" t="inlineStr"/>
      <c r="D97" s="5" t="n">
        <v>7282688</v>
      </c>
      <c r="E97" s="5" t="n">
        <v>6502400</v>
      </c>
      <c r="F97" s="5" t="inlineStr"/>
      <c r="G97" s="5" t="inlineStr">
        <is>
          <t>Dell</t>
        </is>
      </c>
      <c r="H97" s="5">
        <f>HYPERLINK("https://itrix.uz/product/152", "🔗 Mahsulot sotib olish")</f>
        <v/>
      </c>
      <c r="I97" t="inlineStr">
        <is>
          <t>2-152-158</t>
        </is>
      </c>
    </row>
    <row r="98" ht="30" customHeight="1">
      <c r="A98" s="4" t="inlineStr">
        <is>
          <t>Tezkor xotira (RAM)</t>
        </is>
      </c>
      <c r="B98" s="4" t="inlineStr">
        <is>
          <t>Dell 128GB DDR4-3200 LRDIMM xotira moduli, 4Rx4 konfiguratsiya</t>
        </is>
      </c>
      <c r="C98" s="5" t="inlineStr"/>
      <c r="D98" s="5" t="n">
        <v>18263616</v>
      </c>
      <c r="E98" s="5" t="n">
        <v>16306800</v>
      </c>
      <c r="F98" s="5" t="inlineStr"/>
      <c r="G98" s="5" t="inlineStr">
        <is>
          <t>Dell</t>
        </is>
      </c>
      <c r="H98" s="5">
        <f>HYPERLINK("https://itrix.uz/product/550", "🔗 Mahsulot sotib olish")</f>
        <v/>
      </c>
      <c r="I98" t="inlineStr">
        <is>
          <t>2-550-513</t>
        </is>
      </c>
    </row>
    <row r="99" ht="30" customHeight="1">
      <c r="A99" s="4" t="inlineStr">
        <is>
          <t>SSD qattiq disklari</t>
        </is>
      </c>
      <c r="B99" s="4" t="inlineStr">
        <is>
          <t>DELL 480GB / SATA / RI / SSD</t>
        </is>
      </c>
      <c r="C99" s="5" t="inlineStr"/>
      <c r="D99" s="5" t="n">
        <v>3413760</v>
      </c>
      <c r="E99" s="5" t="n">
        <v>3048000</v>
      </c>
      <c r="F99" s="5" t="inlineStr"/>
      <c r="G99" s="5" t="inlineStr">
        <is>
          <t>Dell</t>
        </is>
      </c>
      <c r="H99" s="5">
        <f>HYPERLINK("https://itrix.uz/product/53", "🔗 Mahsulot sotib olish")</f>
        <v/>
      </c>
      <c r="I99" t="inlineStr">
        <is>
          <t>2-53-59</t>
        </is>
      </c>
    </row>
    <row r="100" ht="30" customHeight="1">
      <c r="A100" s="4" t="inlineStr">
        <is>
          <t>Protsessorlar</t>
        </is>
      </c>
      <c r="B100" s="4" t="inlineStr">
        <is>
          <t>Intel Xeon-Gold 6234 (3.3GHz/8-core/130W)</t>
        </is>
      </c>
      <c r="C100" s="5" t="inlineStr"/>
      <c r="D100" s="5" t="n">
        <v>5390896</v>
      </c>
      <c r="E100" s="5" t="n">
        <v>4813300</v>
      </c>
      <c r="F100" s="5" t="inlineStr"/>
      <c r="G100" s="5" t="inlineStr">
        <is>
          <t>Intel</t>
        </is>
      </c>
      <c r="H100" s="5">
        <f>HYPERLINK("https://itrix.uz/product/352", "🔗 Mahsulot sotib olish")</f>
        <v/>
      </c>
      <c r="I100" t="inlineStr">
        <is>
          <t>2-352-354</t>
        </is>
      </c>
    </row>
    <row r="101" ht="30" customHeight="1">
      <c r="A101" s="4" t="inlineStr">
        <is>
          <t>Aksessuarlar</t>
        </is>
      </c>
      <c r="B101" s="4" t="inlineStr">
        <is>
          <t>Dell R750 High Performance CPU Heatsink protsessor radiatori</t>
        </is>
      </c>
      <c r="C101" s="5" t="inlineStr"/>
      <c r="D101" s="5" t="n">
        <v>1365504</v>
      </c>
      <c r="E101" s="5" t="n">
        <v>1219200</v>
      </c>
      <c r="F101" s="5" t="inlineStr"/>
      <c r="G101" s="5" t="inlineStr">
        <is>
          <t>Dell</t>
        </is>
      </c>
      <c r="H101" s="5">
        <f>HYPERLINK("https://itrix.uz/product/100", "🔗 Mahsulot sotib olish")</f>
        <v/>
      </c>
      <c r="I101" t="inlineStr">
        <is>
          <t>2-100-106</t>
        </is>
      </c>
    </row>
    <row r="102" ht="30" customHeight="1">
      <c r="A102" s="4" t="inlineStr">
        <is>
          <t>Protsessorlar</t>
        </is>
      </c>
      <c r="B102" s="4" t="inlineStr">
        <is>
          <t>Intel Xeon-Gold 5218 (2.3GHz/16-core/125W)</t>
        </is>
      </c>
      <c r="C102" s="5" t="inlineStr"/>
      <c r="D102" s="5" t="n">
        <v>10639552</v>
      </c>
      <c r="E102" s="5" t="n">
        <v>9499600</v>
      </c>
      <c r="F102" s="5" t="inlineStr"/>
      <c r="G102" s="5" t="inlineStr">
        <is>
          <t>Intel</t>
        </is>
      </c>
      <c r="H102" s="5">
        <f>HYPERLINK("https://itrix.uz/product/343", "🔗 Mahsulot sotib olish")</f>
        <v/>
      </c>
      <c r="I102" t="inlineStr">
        <is>
          <t>2-343-345</t>
        </is>
      </c>
    </row>
    <row r="103" ht="30" customHeight="1">
      <c r="A103" s="4" t="inlineStr">
        <is>
          <t>Protsessorlar</t>
        </is>
      </c>
      <c r="B103" s="4" t="inlineStr">
        <is>
          <t>Intel Xeon-Gold 6248R (3.0GHz/24-core/205W)</t>
        </is>
      </c>
      <c r="C103" s="5" t="inlineStr"/>
      <c r="D103" s="5" t="n">
        <v>29443680</v>
      </c>
      <c r="E103" s="5" t="n">
        <v>26289000</v>
      </c>
      <c r="F103" s="5" t="inlineStr"/>
      <c r="G103" s="5" t="inlineStr">
        <is>
          <t>Intel</t>
        </is>
      </c>
      <c r="H103" s="5">
        <f>HYPERLINK("https://itrix.uz/product/353", "🔗 Mahsulot sotib olish")</f>
        <v/>
      </c>
      <c r="I103" t="inlineStr">
        <is>
          <t>2-353-355</t>
        </is>
      </c>
    </row>
    <row r="104" ht="30" customHeight="1">
      <c r="A104" s="4" t="inlineStr">
        <is>
          <t>Protsessorlar</t>
        </is>
      </c>
      <c r="B104" s="4" t="inlineStr">
        <is>
          <t>Intel Xeon Gold 6348 (2.6GHz/28-core/235W)</t>
        </is>
      </c>
      <c r="C104" s="5" t="inlineStr"/>
      <c r="D104" s="5" t="n">
        <v>36441888</v>
      </c>
      <c r="E104" s="5" t="n">
        <v>32537400</v>
      </c>
      <c r="F104" s="5" t="inlineStr"/>
      <c r="G104" s="5" t="inlineStr">
        <is>
          <t>Intel</t>
        </is>
      </c>
      <c r="H104" s="5">
        <f>HYPERLINK("https://itrix.uz/product/361", "🔗 Mahsulot sotib olish")</f>
        <v/>
      </c>
      <c r="I104" t="inlineStr">
        <is>
          <t>2-361-363</t>
        </is>
      </c>
    </row>
    <row r="105" ht="30" customHeight="1">
      <c r="A105" s="4" t="inlineStr">
        <is>
          <t>Aksessuarlar</t>
        </is>
      </c>
      <c r="B105" s="4" t="inlineStr">
        <is>
          <t>HPE DL380 G10 High Performance Fan ventilyator moduli</t>
        </is>
      </c>
      <c r="C105" s="5" t="inlineStr"/>
      <c r="D105" s="5" t="n">
        <v>682752</v>
      </c>
      <c r="E105" s="5" t="n">
        <v>609600</v>
      </c>
      <c r="F105" s="5" t="inlineStr"/>
      <c r="G105" s="5" t="inlineStr">
        <is>
          <t>HPE</t>
        </is>
      </c>
      <c r="H105" s="5">
        <f>HYPERLINK("https://itrix.uz/product/108", "🔗 Mahsulot sotib olish")</f>
        <v/>
      </c>
      <c r="I105" t="inlineStr">
        <is>
          <t>2-108-114</t>
        </is>
      </c>
    </row>
    <row r="106" ht="30" customHeight="1">
      <c r="A106" s="4" t="inlineStr">
        <is>
          <t>SSD qattiq disklari</t>
        </is>
      </c>
      <c r="B106" s="4" t="inlineStr">
        <is>
          <t>HPE 480GB / SATA / RI / SSD</t>
        </is>
      </c>
      <c r="C106" s="5" t="inlineStr"/>
      <c r="D106" s="5" t="n">
        <v>5476240</v>
      </c>
      <c r="E106" s="5" t="n">
        <v>4889500</v>
      </c>
      <c r="F106" s="5" t="inlineStr"/>
      <c r="G106" s="5" t="inlineStr">
        <is>
          <t>HPE</t>
        </is>
      </c>
      <c r="H106" s="5">
        <f>HYPERLINK("https://itrix.uz/product/55", "🔗 Mahsulot sotib olish")</f>
        <v/>
      </c>
      <c r="I106" t="inlineStr">
        <is>
          <t>2-55-61</t>
        </is>
      </c>
    </row>
    <row r="107" ht="30" customHeight="1">
      <c r="A107" s="4" t="inlineStr">
        <is>
          <t>Aksessuarlar</t>
        </is>
      </c>
      <c r="B107" s="4" t="inlineStr">
        <is>
          <t xml:space="preserve"> Synology 10GbE BASE-T Ethernet tarmoq kartasi</t>
        </is>
      </c>
      <c r="C107" s="5" t="inlineStr"/>
      <c r="D107" s="5" t="n">
        <v>2275840</v>
      </c>
      <c r="E107" s="5" t="n">
        <v>2032000</v>
      </c>
      <c r="F107" s="5" t="inlineStr"/>
      <c r="G107" s="5" t="inlineStr">
        <is>
          <t>Synology</t>
        </is>
      </c>
      <c r="H107" s="5">
        <f>HYPERLINK("https://itrix.uz/product/269", "🔗 Mahsulot sotib olish")</f>
        <v/>
      </c>
      <c r="I107" t="inlineStr">
        <is>
          <t>2-269-271</t>
        </is>
      </c>
    </row>
    <row r="108" ht="30" customHeight="1">
      <c r="A108" s="4" t="inlineStr">
        <is>
          <t>SSD qattiq disklari</t>
        </is>
      </c>
      <c r="B108" s="4" t="inlineStr">
        <is>
          <t>DELL 3.84TB / SAS / RI / SSD</t>
        </is>
      </c>
      <c r="C108" s="5" t="inlineStr"/>
      <c r="D108" s="5" t="n">
        <v>20539456</v>
      </c>
      <c r="E108" s="5" t="n">
        <v>18338800</v>
      </c>
      <c r="F108" s="5" t="inlineStr"/>
      <c r="G108" s="5" t="inlineStr">
        <is>
          <t>Dell</t>
        </is>
      </c>
      <c r="H108" s="5">
        <f>HYPERLINK("https://itrix.uz/product/56", "🔗 Mahsulot sotib olish")</f>
        <v/>
      </c>
      <c r="I108" t="inlineStr">
        <is>
          <t>2-56-62</t>
        </is>
      </c>
    </row>
    <row r="109" ht="30" customHeight="1">
      <c r="A109" s="4" t="inlineStr">
        <is>
          <t>Korpuslar</t>
        </is>
      </c>
      <c r="B109" s="4" t="inlineStr">
        <is>
          <t xml:space="preserve"> Dell EMC PowerEdge C6520XD (C6400 shassisida) serveri</t>
        </is>
      </c>
      <c r="C109" s="5" t="inlineStr"/>
      <c r="D109" s="5" t="n">
        <v>337706208</v>
      </c>
      <c r="E109" s="5" t="n">
        <v>301523400</v>
      </c>
      <c r="F109" s="5" t="inlineStr"/>
      <c r="G109" s="5" t="inlineStr">
        <is>
          <t>Dell</t>
        </is>
      </c>
      <c r="H109" s="5">
        <f>HYPERLINK("https://itrix.uz/product/446", "🔗 Mahsulot sotib olish")</f>
        <v/>
      </c>
      <c r="I109" t="inlineStr">
        <is>
          <t>2-446-430</t>
        </is>
      </c>
    </row>
    <row r="110" ht="30" customHeight="1">
      <c r="A110" s="4" t="inlineStr">
        <is>
          <t>HDD qattiq disklari</t>
        </is>
      </c>
      <c r="B110" s="4" t="inlineStr">
        <is>
          <t>DELL 600GB SAS 15000 rpm (2.5", SFF) qattiq diski</t>
        </is>
      </c>
      <c r="C110" s="5" t="inlineStr"/>
      <c r="D110" s="5" t="n">
        <v>2190496</v>
      </c>
      <c r="E110" s="5" t="n">
        <v>1955800</v>
      </c>
      <c r="F110" s="5" t="inlineStr"/>
      <c r="G110" s="5" t="inlineStr">
        <is>
          <t>Dell</t>
        </is>
      </c>
      <c r="H110" s="5">
        <f>HYPERLINK("https://itrix.uz/product/40", "🔗 Mahsulot sotib olish")</f>
        <v/>
      </c>
      <c r="I110" t="inlineStr">
        <is>
          <t>2-40-46</t>
        </is>
      </c>
    </row>
    <row r="111" ht="30" customHeight="1">
      <c r="A111" s="4" t="inlineStr">
        <is>
          <t>Protsessorlar</t>
        </is>
      </c>
      <c r="B111" s="4" t="inlineStr">
        <is>
          <t>Intel Xeon Gold 5317 (3.0GHz/12-core/150W)</t>
        </is>
      </c>
      <c r="C111" s="5" t="inlineStr"/>
      <c r="D111" s="5" t="n">
        <v>18064480</v>
      </c>
      <c r="E111" s="5" t="n">
        <v>16129000</v>
      </c>
      <c r="F111" s="5" t="inlineStr"/>
      <c r="G111" s="5" t="inlineStr">
        <is>
          <t>Intel</t>
        </is>
      </c>
      <c r="H111" s="5">
        <f>HYPERLINK("https://itrix.uz/product/348", "🔗 Mahsulot sotib olish")</f>
        <v/>
      </c>
      <c r="I111" t="inlineStr">
        <is>
          <t>2-348-350</t>
        </is>
      </c>
    </row>
    <row r="112" ht="30" customHeight="1">
      <c r="A112" s="4" t="inlineStr">
        <is>
          <t>SSD qattiq disklari</t>
        </is>
      </c>
      <c r="B112" s="4" t="inlineStr">
        <is>
          <t>HPE 240GB / SATA / RI / SSD</t>
        </is>
      </c>
      <c r="C112" s="5" t="inlineStr"/>
      <c r="D112" s="5" t="n">
        <v>3427984</v>
      </c>
      <c r="E112" s="5" t="n">
        <v>3060700</v>
      </c>
      <c r="F112" s="5" t="inlineStr"/>
      <c r="G112" s="5" t="inlineStr">
        <is>
          <t>HPE</t>
        </is>
      </c>
      <c r="H112" s="5">
        <f>HYPERLINK("https://itrix.uz/product/57", "🔗 Mahsulot sotib olish")</f>
        <v/>
      </c>
      <c r="I112" t="inlineStr">
        <is>
          <t>2-57-63</t>
        </is>
      </c>
    </row>
    <row r="113" ht="30" customHeight="1">
      <c r="A113" s="4" t="inlineStr">
        <is>
          <t>Tezkor xotira (RAM)</t>
        </is>
      </c>
      <c r="B113" s="4" t="inlineStr">
        <is>
          <t>Samsung 8GB DDR4-2400 UDIMM operativ xotira</t>
        </is>
      </c>
      <c r="C113" s="5" t="inlineStr"/>
      <c r="D113" s="5" t="n">
        <v>270256</v>
      </c>
      <c r="E113" s="5" t="n">
        <v>241300</v>
      </c>
      <c r="F113" s="5" t="inlineStr"/>
      <c r="G113" s="5" t="inlineStr">
        <is>
          <t>Samsung</t>
        </is>
      </c>
      <c r="H113" s="5">
        <f>HYPERLINK("https://itrix.uz/product/76", "🔗 Mahsulot sotib olish")</f>
        <v/>
      </c>
      <c r="I113" t="inlineStr">
        <is>
          <t>2-76-82</t>
        </is>
      </c>
    </row>
    <row r="114" ht="30" customHeight="1">
      <c r="A114" s="4" t="inlineStr">
        <is>
          <t>Protsessorlar</t>
        </is>
      </c>
      <c r="B114" s="4" t="inlineStr">
        <is>
          <t>Intel Xeon-Silver 4215R (3.2GHz/8-core/130W)</t>
        </is>
      </c>
      <c r="C114" s="5" t="inlineStr"/>
      <c r="D114" s="5" t="n">
        <v>13114528</v>
      </c>
      <c r="E114" s="5" t="n">
        <v>11709400</v>
      </c>
      <c r="F114" s="5" t="inlineStr"/>
      <c r="G114" s="5" t="inlineStr">
        <is>
          <t>Intel</t>
        </is>
      </c>
      <c r="H114" s="5">
        <f>HYPERLINK("https://itrix.uz/product/339", "🔗 Mahsulot sotib olish")</f>
        <v/>
      </c>
      <c r="I114" t="inlineStr">
        <is>
          <t>2-339-341</t>
        </is>
      </c>
    </row>
    <row r="115" ht="30" customHeight="1">
      <c r="A115" s="4" t="inlineStr">
        <is>
          <t>Protsessorlar</t>
        </is>
      </c>
      <c r="B115" s="4" t="inlineStr">
        <is>
          <t>Intel Xeon Gold 6342 (2.8GHz/24-core/230W)</t>
        </is>
      </c>
      <c r="C115" s="5" t="inlineStr"/>
      <c r="D115" s="5" t="n">
        <v>37892736</v>
      </c>
      <c r="E115" s="5" t="n">
        <v>33832800</v>
      </c>
      <c r="F115" s="5" t="inlineStr"/>
      <c r="G115" s="5" t="inlineStr">
        <is>
          <t>Intel</t>
        </is>
      </c>
      <c r="H115" s="5">
        <f>HYPERLINK("https://itrix.uz/product/359", "🔗 Mahsulot sotib olish")</f>
        <v/>
      </c>
      <c r="I115" t="inlineStr">
        <is>
          <t>2-359-361</t>
        </is>
      </c>
    </row>
    <row r="116" ht="30" customHeight="1">
      <c r="A116" s="4" t="inlineStr">
        <is>
          <t>HDD qattiq disklari</t>
        </is>
      </c>
      <c r="B116" s="4" t="inlineStr">
        <is>
          <t>HPE 16TB SAS 7200 rpm (3.5", LFF) qattiq diski</t>
        </is>
      </c>
      <c r="C116" s="5" t="inlineStr"/>
      <c r="D116" s="5" t="n">
        <v>8904224</v>
      </c>
      <c r="E116" s="5" t="n">
        <v>7950200</v>
      </c>
      <c r="F116" s="5" t="inlineStr"/>
      <c r="G116" s="5" t="inlineStr">
        <is>
          <t>HPE</t>
        </is>
      </c>
      <c r="H116" s="5">
        <f>HYPERLINK("https://itrix.uz/product/45", "🔗 Mahsulot sotib olish")</f>
        <v/>
      </c>
      <c r="I116" t="inlineStr">
        <is>
          <t>2-45-51</t>
        </is>
      </c>
    </row>
    <row r="117" ht="30" customHeight="1">
      <c r="A117" s="4" t="inlineStr">
        <is>
          <t>Protsessorlar</t>
        </is>
      </c>
      <c r="B117" s="4" t="inlineStr">
        <is>
          <t>Intel Xeon Gold 6346 (3.1GHz/16-core/205W)</t>
        </is>
      </c>
      <c r="C117" s="5" t="inlineStr"/>
      <c r="D117" s="5" t="n">
        <v>27694128</v>
      </c>
      <c r="E117" s="5" t="n">
        <v>24726900</v>
      </c>
      <c r="F117" s="5" t="inlineStr"/>
      <c r="G117" s="5" t="inlineStr">
        <is>
          <t>Intel</t>
        </is>
      </c>
      <c r="H117" s="5">
        <f>HYPERLINK("https://itrix.uz/product/360", "🔗 Mahsulot sotib olish")</f>
        <v/>
      </c>
      <c r="I117" t="inlineStr">
        <is>
          <t>2-360-362</t>
        </is>
      </c>
    </row>
    <row r="118" ht="30" customHeight="1">
      <c r="A118" s="4" t="inlineStr">
        <is>
          <t>HDD qattiq disklari</t>
        </is>
      </c>
      <c r="B118" s="4" t="inlineStr">
        <is>
          <t>HPE 900GB SAS 15000 rpm (2.5", SFF) qattiq diski</t>
        </is>
      </c>
      <c r="C118" s="5" t="inlineStr"/>
      <c r="D118" s="5" t="n">
        <v>5291328</v>
      </c>
      <c r="E118" s="5" t="n">
        <v>4724400</v>
      </c>
      <c r="F118" s="5" t="inlineStr"/>
      <c r="G118" s="5" t="inlineStr">
        <is>
          <t>HPE</t>
        </is>
      </c>
      <c r="H118" s="5">
        <f>HYPERLINK("https://itrix.uz/product/50", "🔗 Mahsulot sotib olish")</f>
        <v/>
      </c>
      <c r="I118" t="inlineStr">
        <is>
          <t>2-50-56</t>
        </is>
      </c>
    </row>
    <row r="119" ht="30" customHeight="1">
      <c r="A119" s="4" t="inlineStr">
        <is>
          <t>SSD qattiq disklari</t>
        </is>
      </c>
      <c r="B119" s="4" t="inlineStr">
        <is>
          <t>HPE 480GB / SATA / MU / SSD</t>
        </is>
      </c>
      <c r="C119" s="5" t="inlineStr"/>
      <c r="D119" s="5" t="n">
        <v>6158992</v>
      </c>
      <c r="E119" s="5" t="n">
        <v>5499100</v>
      </c>
      <c r="F119" s="5" t="inlineStr"/>
      <c r="G119" s="5" t="inlineStr">
        <is>
          <t>HPE</t>
        </is>
      </c>
      <c r="H119" s="5">
        <f>HYPERLINK("https://itrix.uz/product/58", "🔗 Mahsulot sotib olish")</f>
        <v/>
      </c>
      <c r="I119" t="inlineStr">
        <is>
          <t>2-58-64</t>
        </is>
      </c>
    </row>
    <row r="120" ht="30" customHeight="1">
      <c r="A120" s="4" t="inlineStr">
        <is>
          <t>Aksessuarlar</t>
        </is>
      </c>
      <c r="B120" s="4" t="inlineStr">
        <is>
          <t>HPE 544+QSFP 10/40G 2-port PCIe tarmoqli kartasi</t>
        </is>
      </c>
      <c r="C120" s="5" t="inlineStr"/>
      <c r="D120" s="5" t="n">
        <v>4110736</v>
      </c>
      <c r="E120" s="5" t="n">
        <v>3670300</v>
      </c>
      <c r="F120" s="5" t="inlineStr"/>
      <c r="G120" s="5" t="inlineStr">
        <is>
          <t>HPE</t>
        </is>
      </c>
      <c r="H120" s="5">
        <f>HYPERLINK("https://itrix.uz/product/99", "🔗 Mahsulot sotib olish")</f>
        <v/>
      </c>
      <c r="I120" t="inlineStr">
        <is>
          <t>2-99-105</t>
        </is>
      </c>
    </row>
    <row r="121" ht="30" customHeight="1">
      <c r="A121" s="4" t="inlineStr">
        <is>
          <t>SSD qattiq disklari</t>
        </is>
      </c>
      <c r="B121" s="4" t="inlineStr">
        <is>
          <t>Intel 480GB S4510 / RI / SATA / SSD</t>
        </is>
      </c>
      <c r="C121" s="5" t="inlineStr"/>
      <c r="D121" s="5" t="n">
        <v>2048256</v>
      </c>
      <c r="E121" s="5" t="n">
        <v>1828800</v>
      </c>
      <c r="F121" s="5" t="inlineStr"/>
      <c r="G121" s="5" t="inlineStr">
        <is>
          <t>Intel</t>
        </is>
      </c>
      <c r="H121" s="5">
        <f>HYPERLINK("https://itrix.uz/product/59", "🔗 Mahsulot sotib olish")</f>
        <v/>
      </c>
      <c r="I121" t="inlineStr">
        <is>
          <t>2-59-65</t>
        </is>
      </c>
    </row>
    <row r="122" ht="30" customHeight="1">
      <c r="A122" s="4" t="inlineStr">
        <is>
          <t>HDD qattiq disklari</t>
        </is>
      </c>
      <c r="B122" s="4" t="inlineStr">
        <is>
          <t xml:space="preserve"> WD 6TB 7.2K SAS LFF qattiq diski</t>
        </is>
      </c>
      <c r="C122" s="5" t="inlineStr"/>
      <c r="D122" s="5" t="n">
        <v>2034032</v>
      </c>
      <c r="E122" s="5" t="n">
        <v>1816100</v>
      </c>
      <c r="F122" s="5" t="inlineStr"/>
      <c r="G122" s="5" t="inlineStr">
        <is>
          <t>Western Digital</t>
        </is>
      </c>
      <c r="H122" s="5">
        <f>HYPERLINK("https://itrix.uz/product/49", "🔗 Mahsulot sotib olish")</f>
        <v/>
      </c>
      <c r="I122" t="inlineStr">
        <is>
          <t>2-49-55</t>
        </is>
      </c>
    </row>
    <row r="123" ht="30" customHeight="1">
      <c r="A123" s="4" t="inlineStr">
        <is>
          <t>SSD qattiq disklari</t>
        </is>
      </c>
      <c r="B123" s="4" t="inlineStr">
        <is>
          <t>DELL 1.92TB / SAS / RI / SSD</t>
        </is>
      </c>
      <c r="C123" s="5" t="inlineStr"/>
      <c r="D123" s="5" t="n">
        <v>16428720</v>
      </c>
      <c r="E123" s="5" t="n">
        <v>14668500</v>
      </c>
      <c r="F123" s="5" t="inlineStr"/>
      <c r="G123" s="5" t="inlineStr">
        <is>
          <t>Dell</t>
        </is>
      </c>
      <c r="H123" s="5">
        <f>HYPERLINK("https://itrix.uz/product/60", "🔗 Mahsulot sotib olish")</f>
        <v/>
      </c>
      <c r="I123" t="inlineStr">
        <is>
          <t>2-60-66</t>
        </is>
      </c>
    </row>
    <row r="124" ht="30" customHeight="1">
      <c r="A124" s="4" t="inlineStr">
        <is>
          <t>Tarkibiy qismlar</t>
        </is>
      </c>
      <c r="B124" s="4" t="inlineStr">
        <is>
          <t>On-line uzluksiz quvvat manbai, 10 000 VA Intelligent seriyasi, AKBsiz (SNR-UPS-ONRT-10000-INTXL)</t>
        </is>
      </c>
      <c r="C124" s="5" t="inlineStr"/>
      <c r="D124" s="5" t="n">
        <v>12741006</v>
      </c>
      <c r="E124" s="5" t="n">
        <v>11375898</v>
      </c>
      <c r="F124" s="5" t="inlineStr"/>
      <c r="G124" s="5" t="inlineStr">
        <is>
          <t>SNR</t>
        </is>
      </c>
      <c r="H124" s="5">
        <f>HYPERLINK("https://itrix.uz/product/895", "🔗 Mahsulot sotib olish")</f>
        <v/>
      </c>
      <c r="I124" t="inlineStr">
        <is>
          <t>2-895-785</t>
        </is>
      </c>
    </row>
    <row r="125" ht="30" customHeight="1">
      <c r="A125" s="4" t="inlineStr">
        <is>
          <t>SSD qattiq disklari</t>
        </is>
      </c>
      <c r="B125" s="4" t="inlineStr">
        <is>
          <t>DELL 15.36TB Enterprise NVMe Read Intensive AG Drive U.2 formatdagi SSD disk</t>
        </is>
      </c>
      <c r="C125" s="5" t="inlineStr"/>
      <c r="D125" s="5" t="n">
        <v>27395424</v>
      </c>
      <c r="E125" s="5" t="n">
        <v>24460200</v>
      </c>
      <c r="F125" s="5" t="inlineStr"/>
      <c r="G125" s="5" t="inlineStr"/>
      <c r="H125" s="5">
        <f>HYPERLINK("https://itrix.uz/product/551", "🔗 Mahsulot sotib olish")</f>
        <v/>
      </c>
      <c r="I125" t="inlineStr">
        <is>
          <t>2-551-514</t>
        </is>
      </c>
    </row>
    <row r="126" ht="30" customHeight="1">
      <c r="A126" s="4" t="inlineStr">
        <is>
          <t>Aksessuarlar</t>
        </is>
      </c>
      <c r="B126" s="4" t="inlineStr">
        <is>
          <t>QLogic QL45212HLCU 25GbE ikkita portli SFP+ tarmoq kartasi, PCIe 3.0 x8 (SFP modulsiz)</t>
        </is>
      </c>
      <c r="C126" s="5" t="inlineStr"/>
      <c r="D126" s="5" t="n">
        <v>6087872</v>
      </c>
      <c r="E126" s="5" t="n">
        <v>5435600</v>
      </c>
      <c r="F126" s="5" t="inlineStr"/>
      <c r="G126" s="5" t="inlineStr"/>
      <c r="H126" s="5">
        <f>HYPERLINK("https://itrix.uz/product/556", "🔗 Mahsulot sotib olish")</f>
        <v/>
      </c>
      <c r="I126" t="inlineStr">
        <is>
          <t>2-556-519</t>
        </is>
      </c>
    </row>
    <row r="127" ht="30" customHeight="1">
      <c r="A127" s="4" t="inlineStr">
        <is>
          <t>Aksessuarlar</t>
        </is>
      </c>
      <c r="B127" s="4" t="inlineStr">
        <is>
          <t>Dell Emulex LPE36000 FC64 HBA adapteri, 2 portli, PCIe Full Height formatda</t>
        </is>
      </c>
      <c r="C127" s="5" t="inlineStr"/>
      <c r="D127" s="5" t="n">
        <v>22843744</v>
      </c>
      <c r="E127" s="5" t="n">
        <v>20396200</v>
      </c>
      <c r="F127" s="5" t="inlineStr"/>
      <c r="G127" s="5" t="inlineStr">
        <is>
          <t>Dell</t>
        </is>
      </c>
      <c r="H127" s="5">
        <f>HYPERLINK("https://itrix.uz/product/553", "🔗 Mahsulot sotib olish")</f>
        <v/>
      </c>
      <c r="I127" t="inlineStr">
        <is>
          <t>2-553-516</t>
        </is>
      </c>
    </row>
    <row r="128" ht="30" customHeight="1">
      <c r="A128" s="4" t="inlineStr">
        <is>
          <t>Video kartalar</t>
        </is>
      </c>
      <c r="B128" s="4" t="inlineStr">
        <is>
          <t xml:space="preserve"> NVIDIA L40 48GB GDDR6 videokartasi</t>
        </is>
      </c>
      <c r="C128" s="5" t="inlineStr"/>
      <c r="D128" s="5" t="n">
        <v>137887456</v>
      </c>
      <c r="E128" s="5" t="n">
        <v>123113800</v>
      </c>
      <c r="F128" s="5" t="inlineStr"/>
      <c r="G128" s="5" t="inlineStr">
        <is>
          <t>Nvidia</t>
        </is>
      </c>
      <c r="H128" s="5">
        <f>HYPERLINK("https://itrix.uz/product/502", "🔗 Mahsulot sotib olish")</f>
        <v/>
      </c>
      <c r="I128" t="inlineStr">
        <is>
          <t>2-502-485</t>
        </is>
      </c>
    </row>
    <row r="129" ht="30" customHeight="1">
      <c r="A129" s="4" t="inlineStr">
        <is>
          <t>SSD qattiq disklari</t>
        </is>
      </c>
      <c r="B129" s="4" t="inlineStr">
        <is>
          <t>DELL 1.6TB / SAS / MU / SSD</t>
        </is>
      </c>
      <c r="C129" s="5" t="inlineStr"/>
      <c r="D129" s="5" t="n">
        <v>10198608</v>
      </c>
      <c r="E129" s="5" t="n">
        <v>9105900</v>
      </c>
      <c r="F129" s="5" t="inlineStr"/>
      <c r="G129" s="5" t="inlineStr">
        <is>
          <t>Dell</t>
        </is>
      </c>
      <c r="H129" s="5">
        <f>HYPERLINK("https://itrix.uz/product/61", "🔗 Mahsulot sotib olish")</f>
        <v/>
      </c>
      <c r="I129" t="inlineStr">
        <is>
          <t>2-61-67</t>
        </is>
      </c>
    </row>
    <row r="130" ht="30" customHeight="1">
      <c r="A130" s="4" t="inlineStr">
        <is>
          <t>Tezkor xotira (RAM)</t>
        </is>
      </c>
      <c r="B130" s="4" t="inlineStr">
        <is>
          <t>Samsung 32GB DDR4-2133 operativ xotira</t>
        </is>
      </c>
      <c r="C130" s="5" t="inlineStr"/>
      <c r="D130" s="5" t="n">
        <v>1365504</v>
      </c>
      <c r="E130" s="5" t="n">
        <v>1219200</v>
      </c>
      <c r="F130" s="5" t="inlineStr"/>
      <c r="G130" s="5" t="inlineStr">
        <is>
          <t>Samsung</t>
        </is>
      </c>
      <c r="H130" s="5">
        <f>HYPERLINK("https://itrix.uz/product/79", "🔗 Mahsulot sotib olish")</f>
        <v/>
      </c>
      <c r="I130" t="inlineStr">
        <is>
          <t>2-79-85</t>
        </is>
      </c>
    </row>
    <row r="131" ht="30" customHeight="1">
      <c r="A131" s="4" t="inlineStr">
        <is>
          <t>Tezkor xotira (RAM)</t>
        </is>
      </c>
      <c r="B131" s="4" t="inlineStr">
        <is>
          <t>Samsung 16GB DDR4-2666 UDIMM operativ xotira</t>
        </is>
      </c>
      <c r="C131" s="5" t="inlineStr"/>
      <c r="D131" s="5" t="n">
        <v>1379728</v>
      </c>
      <c r="E131" s="5" t="n">
        <v>1231900</v>
      </c>
      <c r="F131" s="5" t="inlineStr"/>
      <c r="G131" s="5" t="inlineStr">
        <is>
          <t>Samsung</t>
        </is>
      </c>
      <c r="H131" s="5">
        <f>HYPERLINK("https://itrix.uz/product/83", "🔗 Mahsulot sotib olish")</f>
        <v/>
      </c>
      <c r="I131" t="inlineStr">
        <is>
          <t>2-83-89</t>
        </is>
      </c>
    </row>
    <row r="132" ht="30" customHeight="1">
      <c r="A132" s="4" t="inlineStr">
        <is>
          <t>Tezkor xotira (RAM)</t>
        </is>
      </c>
      <c r="B132" s="4" t="inlineStr">
        <is>
          <t>HPE 16GB DDR4-2666 SMART Kit operativ xotira</t>
        </is>
      </c>
      <c r="C132" s="5" t="inlineStr"/>
      <c r="D132" s="5" t="n">
        <v>1706880</v>
      </c>
      <c r="E132" s="5" t="n">
        <v>1524000</v>
      </c>
      <c r="F132" s="5" t="inlineStr"/>
      <c r="G132" s="5" t="inlineStr">
        <is>
          <t>HPE</t>
        </is>
      </c>
      <c r="H132" s="5">
        <f>HYPERLINK("https://itrix.uz/product/86", "🔗 Mahsulot sotib olish")</f>
        <v/>
      </c>
      <c r="I132" t="inlineStr">
        <is>
          <t>2-86-92</t>
        </is>
      </c>
    </row>
    <row r="133" ht="30" customHeight="1">
      <c r="A133" s="4" t="inlineStr">
        <is>
          <t>Tezkor xotira (RAM)</t>
        </is>
      </c>
      <c r="B133" s="4" t="inlineStr">
        <is>
          <t>HPE 32GB DDR4-2666 operativ xotira</t>
        </is>
      </c>
      <c r="C133" s="5" t="inlineStr"/>
      <c r="D133" s="5" t="n">
        <v>1991360</v>
      </c>
      <c r="E133" s="5" t="n">
        <v>1778000</v>
      </c>
      <c r="F133" s="5" t="inlineStr"/>
      <c r="G133" s="5" t="inlineStr">
        <is>
          <t>HPE</t>
        </is>
      </c>
      <c r="H133" s="5">
        <f>HYPERLINK("https://itrix.uz/product/89", "🔗 Mahsulot sotib olish")</f>
        <v/>
      </c>
      <c r="I133" t="inlineStr">
        <is>
          <t>2-89-95</t>
        </is>
      </c>
    </row>
    <row r="134" ht="30" customHeight="1">
      <c r="A134" s="4" t="inlineStr">
        <is>
          <t>Tezkor xotira (RAM)</t>
        </is>
      </c>
      <c r="B134" s="4" t="inlineStr">
        <is>
          <t>HPE 32GB DDR4-2400 operativ xotira</t>
        </is>
      </c>
      <c r="C134" s="5" t="inlineStr"/>
      <c r="D134" s="5" t="n">
        <v>1706880</v>
      </c>
      <c r="E134" s="5" t="n">
        <v>1524000</v>
      </c>
      <c r="F134" s="5" t="inlineStr"/>
      <c r="G134" s="5" t="inlineStr">
        <is>
          <t>HPE</t>
        </is>
      </c>
      <c r="H134" s="5">
        <f>HYPERLINK("https://itrix.uz/product/90", "🔗 Mahsulot sotib olish")</f>
        <v/>
      </c>
      <c r="I134" t="inlineStr">
        <is>
          <t>2-90-96</t>
        </is>
      </c>
    </row>
    <row r="135" ht="30" customHeight="1">
      <c r="A135" s="4" t="inlineStr">
        <is>
          <t>Tezkor xotira (RAM)</t>
        </is>
      </c>
      <c r="B135" s="4" t="inlineStr">
        <is>
          <t>HPE 64GB DDR4-2933 operativ xotira</t>
        </is>
      </c>
      <c r="C135" s="5" t="inlineStr"/>
      <c r="D135" s="5" t="n">
        <v>5476240</v>
      </c>
      <c r="E135" s="5" t="n">
        <v>4889500</v>
      </c>
      <c r="F135" s="5" t="inlineStr"/>
      <c r="G135" s="5" t="inlineStr">
        <is>
          <t>HPE</t>
        </is>
      </c>
      <c r="H135" s="5">
        <f>HYPERLINK("https://itrix.uz/product/92", "🔗 Mahsulot sotib olish")</f>
        <v/>
      </c>
      <c r="I135" t="inlineStr">
        <is>
          <t>2-92-98</t>
        </is>
      </c>
    </row>
    <row r="136" ht="30" customHeight="1">
      <c r="A136" s="4" t="inlineStr">
        <is>
          <t>Tezkor xotira (RAM)</t>
        </is>
      </c>
      <c r="B136" s="4" t="inlineStr">
        <is>
          <t>HPE 16GB DDR4-3200 operativ xotira</t>
        </is>
      </c>
      <c r="C136" s="5" t="inlineStr"/>
      <c r="D136" s="5" t="n">
        <v>1095248</v>
      </c>
      <c r="E136" s="5" t="n">
        <v>977900</v>
      </c>
      <c r="F136" s="5" t="inlineStr"/>
      <c r="G136" s="5" t="inlineStr">
        <is>
          <t>HPE</t>
        </is>
      </c>
      <c r="H136" s="5">
        <f>HYPERLINK("https://itrix.uz/product/93", "🔗 Mahsulot sotib olish")</f>
        <v/>
      </c>
      <c r="I136" t="inlineStr">
        <is>
          <t>2-93-99</t>
        </is>
      </c>
    </row>
    <row r="137" ht="30" customHeight="1">
      <c r="A137" s="4" t="inlineStr">
        <is>
          <t>Tezkor xotira (RAM)</t>
        </is>
      </c>
      <c r="B137" s="4" t="inlineStr">
        <is>
          <t>HPE 16GB DDR4-3200 UDIMM operativ xotira</t>
        </is>
      </c>
      <c r="C137" s="5" t="inlineStr"/>
      <c r="D137" s="5" t="n">
        <v>810768</v>
      </c>
      <c r="E137" s="5" t="n">
        <v>723900</v>
      </c>
      <c r="F137" s="5" t="inlineStr"/>
      <c r="G137" s="5" t="inlineStr">
        <is>
          <t>HPE</t>
        </is>
      </c>
      <c r="H137" s="5">
        <f>HYPERLINK("https://itrix.uz/product/95", "🔗 Mahsulot sotib olish")</f>
        <v/>
      </c>
      <c r="I137" t="inlineStr">
        <is>
          <t>2-95-101</t>
        </is>
      </c>
    </row>
    <row r="138" ht="30" customHeight="1">
      <c r="A138" s="4" t="inlineStr">
        <is>
          <t>NVME</t>
        </is>
      </c>
      <c r="B138" s="4" t="inlineStr">
        <is>
          <t>3.2TB PCI-e NVMe Express Flash xotira qurilmasi</t>
        </is>
      </c>
      <c r="C138" s="5" t="inlineStr"/>
      <c r="D138" s="5" t="n">
        <v>12687808</v>
      </c>
      <c r="E138" s="5" t="n">
        <v>11328400</v>
      </c>
      <c r="F138" s="5" t="inlineStr"/>
      <c r="G138" s="5" t="inlineStr">
        <is>
          <t>Dell</t>
        </is>
      </c>
      <c r="H138" s="5">
        <f>HYPERLINK("https://itrix.uz/product/97", "🔗 Mahsulot sotib olish")</f>
        <v/>
      </c>
      <c r="I138" t="inlineStr">
        <is>
          <t>2-97-103</t>
        </is>
      </c>
    </row>
    <row r="139" ht="30" customHeight="1">
      <c r="A139" s="4" t="inlineStr">
        <is>
          <t>NVME</t>
        </is>
      </c>
      <c r="B139" s="4" t="inlineStr">
        <is>
          <t>6.4TB PCI-e NVMe Express Flash xotira qurilmasi</t>
        </is>
      </c>
      <c r="C139" s="5" t="inlineStr"/>
      <c r="D139" s="5" t="n">
        <v>15162784</v>
      </c>
      <c r="E139" s="5" t="n">
        <v>13538200</v>
      </c>
      <c r="F139" s="5" t="inlineStr"/>
      <c r="G139" s="5" t="inlineStr">
        <is>
          <t>Dell</t>
        </is>
      </c>
      <c r="H139" s="5">
        <f>HYPERLINK("https://itrix.uz/product/98", "🔗 Mahsulot sotib olish")</f>
        <v/>
      </c>
      <c r="I139" t="inlineStr">
        <is>
          <t>2-98-104</t>
        </is>
      </c>
    </row>
    <row r="140" ht="30" customHeight="1">
      <c r="A140" s="4" t="inlineStr">
        <is>
          <t>Aksessuarlar</t>
        </is>
      </c>
      <c r="B140" s="4" t="inlineStr">
        <is>
          <t>DELL 57414 2port 25GB SFP28 OCP3 tarmoqli interfeys kartasi</t>
        </is>
      </c>
      <c r="C140" s="5" t="inlineStr"/>
      <c r="D140" s="5" t="n">
        <v>4793488</v>
      </c>
      <c r="E140" s="5" t="n">
        <v>4279900</v>
      </c>
      <c r="F140" s="5" t="inlineStr"/>
      <c r="G140" s="5" t="inlineStr">
        <is>
          <t>Dell</t>
        </is>
      </c>
      <c r="H140" s="5">
        <f>HYPERLINK("https://itrix.uz/product/102", "🔗 Mahsulot sotib olish")</f>
        <v/>
      </c>
      <c r="I140" t="inlineStr">
        <is>
          <t>2-102-365</t>
        </is>
      </c>
    </row>
    <row r="141" ht="30" customHeight="1">
      <c r="A141" s="4" t="inlineStr">
        <is>
          <t>Aksessuarlar</t>
        </is>
      </c>
      <c r="B141" s="4" t="inlineStr">
        <is>
          <t>HPE DL380 Gen10 Plus 8SFF NVMe Cage (1PORT) diskli qutisi</t>
        </is>
      </c>
      <c r="C141" s="5" t="inlineStr"/>
      <c r="D141" s="5" t="n">
        <v>7083552</v>
      </c>
      <c r="E141" s="5" t="n">
        <v>6324600</v>
      </c>
      <c r="F141" s="5" t="inlineStr"/>
      <c r="G141" s="5" t="inlineStr">
        <is>
          <t>HPE</t>
        </is>
      </c>
      <c r="H141" s="5">
        <f>HYPERLINK("https://itrix.uz/product/105", "🔗 Mahsulot sotib olish")</f>
        <v/>
      </c>
      <c r="I141" t="inlineStr">
        <is>
          <t>2-105-111</t>
        </is>
      </c>
    </row>
    <row r="142" ht="30" customHeight="1">
      <c r="A142" s="4" t="inlineStr">
        <is>
          <t>Quvvat ta'minoti</t>
        </is>
      </c>
      <c r="B142" s="4" t="inlineStr">
        <is>
          <t>HPE G10 Plus 1600W Flex Slot Platinum Hot Plug Low Halogen Power Supply</t>
        </is>
      </c>
      <c r="C142" s="5" t="inlineStr"/>
      <c r="D142" s="5" t="n">
        <v>4793488</v>
      </c>
      <c r="E142" s="5" t="n">
        <v>4279900</v>
      </c>
      <c r="F142" s="5" t="inlineStr"/>
      <c r="G142" s="5" t="inlineStr">
        <is>
          <t>HPE</t>
        </is>
      </c>
      <c r="H142" s="5">
        <f>HYPERLINK("https://itrix.uz/product/109", "🔗 Mahsulot sotib olish")</f>
        <v/>
      </c>
      <c r="I142" t="inlineStr">
        <is>
          <t>2-109-115</t>
        </is>
      </c>
    </row>
    <row r="143" ht="30" customHeight="1">
      <c r="A143" s="4" t="inlineStr">
        <is>
          <t>Aksessuarlar</t>
        </is>
      </c>
      <c r="B143" s="4" t="inlineStr">
        <is>
          <t>HPE DL360 G10+ High Performance Heatsink protsessor radiatori</t>
        </is>
      </c>
      <c r="C143" s="5" t="inlineStr"/>
      <c r="D143" s="5" t="n">
        <v>1365504</v>
      </c>
      <c r="E143" s="5" t="n">
        <v>1219200</v>
      </c>
      <c r="F143" s="5" t="inlineStr"/>
      <c r="G143" s="5" t="inlineStr">
        <is>
          <t>HPE</t>
        </is>
      </c>
      <c r="H143" s="5">
        <f>HYPERLINK("https://itrix.uz/product/111", "🔗 Mahsulot sotib olish")</f>
        <v/>
      </c>
      <c r="I143" t="inlineStr">
        <is>
          <t>2-111-117</t>
        </is>
      </c>
    </row>
    <row r="144" ht="30" customHeight="1">
      <c r="A144" s="4" t="inlineStr">
        <is>
          <t>Aksessuarlar</t>
        </is>
      </c>
      <c r="B144" s="4" t="inlineStr">
        <is>
          <t>DELL 3.5" Caddy G15</t>
        </is>
      </c>
      <c r="C144" s="5" t="inlineStr"/>
      <c r="D144" s="5" t="n">
        <v>284480</v>
      </c>
      <c r="E144" s="5" t="n">
        <v>254000</v>
      </c>
      <c r="F144" s="5" t="inlineStr"/>
      <c r="G144" s="5" t="inlineStr">
        <is>
          <t>Dell</t>
        </is>
      </c>
      <c r="H144" s="5">
        <f>HYPERLINK("https://itrix.uz/product/119", "🔗 Mahsulot sotib olish")</f>
        <v/>
      </c>
      <c r="I144" t="inlineStr">
        <is>
          <t>2-119-125</t>
        </is>
      </c>
    </row>
    <row r="145" ht="30" customHeight="1">
      <c r="A145" s="4" t="inlineStr">
        <is>
          <t>Aksessuarlar</t>
        </is>
      </c>
      <c r="B145" s="4" t="inlineStr">
        <is>
          <t>DELL TPM 2.0 Module xavfsizlik moduli</t>
        </is>
      </c>
      <c r="C145" s="5" t="inlineStr"/>
      <c r="D145" s="5" t="n">
        <v>2731008</v>
      </c>
      <c r="E145" s="5" t="n">
        <v>2438400</v>
      </c>
      <c r="F145" s="5" t="inlineStr"/>
      <c r="G145" s="5" t="inlineStr">
        <is>
          <t>Dell</t>
        </is>
      </c>
      <c r="H145" s="5">
        <f>HYPERLINK("https://itrix.uz/product/112", "🔗 Mahsulot sotib olish")</f>
        <v/>
      </c>
      <c r="I145" t="inlineStr">
        <is>
          <t>2-112-118</t>
        </is>
      </c>
    </row>
    <row r="146" ht="30" customHeight="1">
      <c r="A146" s="4" t="inlineStr">
        <is>
          <t>Aksessuarlar</t>
        </is>
      </c>
      <c r="B146" s="4" t="inlineStr">
        <is>
          <t>HPE DL380 G10 AMD High Performance Heatsink protsessor radiatori</t>
        </is>
      </c>
      <c r="C146" s="5" t="inlineStr"/>
      <c r="D146" s="5" t="n">
        <v>1365504</v>
      </c>
      <c r="E146" s="5" t="n">
        <v>1219200</v>
      </c>
      <c r="F146" s="5" t="inlineStr"/>
      <c r="G146" s="5" t="inlineStr">
        <is>
          <t>HPE</t>
        </is>
      </c>
      <c r="H146" s="5">
        <f>HYPERLINK("https://itrix.uz/product/113", "🔗 Mahsulot sotib olish")</f>
        <v/>
      </c>
      <c r="I146" t="inlineStr">
        <is>
          <t>2-113-119</t>
        </is>
      </c>
    </row>
    <row r="147" ht="30" customHeight="1">
      <c r="A147" s="4" t="inlineStr">
        <is>
          <t>Aksessuarlar</t>
        </is>
      </c>
      <c r="B147" s="4" t="inlineStr">
        <is>
          <t>DELL Perc H345 RAID Controller</t>
        </is>
      </c>
      <c r="C147" s="5" t="inlineStr"/>
      <c r="D147" s="5" t="n">
        <v>4110736</v>
      </c>
      <c r="E147" s="5" t="n">
        <v>3670300</v>
      </c>
      <c r="F147" s="5" t="inlineStr"/>
      <c r="G147" s="5" t="inlineStr">
        <is>
          <t>Dell</t>
        </is>
      </c>
      <c r="H147" s="5">
        <f>HYPERLINK("https://itrix.uz/product/115", "🔗 Mahsulot sotib olish")</f>
        <v/>
      </c>
      <c r="I147" t="inlineStr">
        <is>
          <t>2-115-121</t>
        </is>
      </c>
    </row>
    <row r="148" ht="30" customHeight="1">
      <c r="A148" s="4" t="inlineStr">
        <is>
          <t>Aksessuarlar</t>
        </is>
      </c>
      <c r="B148" s="4" t="inlineStr">
        <is>
          <t>HPE ML110/150/350 G9 Heatsink protsessor radiatori</t>
        </is>
      </c>
      <c r="C148" s="5" t="inlineStr"/>
      <c r="D148" s="5" t="n">
        <v>554736</v>
      </c>
      <c r="E148" s="5" t="n">
        <v>495300</v>
      </c>
      <c r="F148" s="5" t="inlineStr"/>
      <c r="G148" s="5" t="inlineStr">
        <is>
          <t>HPE</t>
        </is>
      </c>
      <c r="H148" s="5">
        <f>HYPERLINK("https://itrix.uz/product/118", "🔗 Mahsulot sotib olish")</f>
        <v/>
      </c>
      <c r="I148" t="inlineStr">
        <is>
          <t>2-118-124</t>
        </is>
      </c>
    </row>
    <row r="149" ht="30" customHeight="1">
      <c r="A149" s="4" t="inlineStr">
        <is>
          <t>Quvvat ta'minoti</t>
        </is>
      </c>
      <c r="B149" s="4" t="inlineStr">
        <is>
          <t>HPE 500W Flex Slot Platinum Hot Plug Low Halogen PS quvvat bloki</t>
        </is>
      </c>
      <c r="C149" s="5" t="inlineStr"/>
      <c r="D149" s="5" t="n">
        <v>2531872</v>
      </c>
      <c r="E149" s="5" t="n">
        <v>2260600</v>
      </c>
      <c r="F149" s="5" t="inlineStr"/>
      <c r="G149" s="5" t="inlineStr">
        <is>
          <t>HPE</t>
        </is>
      </c>
      <c r="H149" s="5">
        <f>HYPERLINK("https://itrix.uz/product/120", "🔗 Mahsulot sotib olish")</f>
        <v/>
      </c>
      <c r="I149" t="inlineStr">
        <is>
          <t>2-120-126</t>
        </is>
      </c>
    </row>
    <row r="150" ht="30" customHeight="1">
      <c r="A150" s="4" t="inlineStr">
        <is>
          <t>Aksessuarlar</t>
        </is>
      </c>
      <c r="B150" s="4" t="inlineStr">
        <is>
          <t>HPE 331T 4x-1Gb 4-port PCIe tarmoq adapter</t>
        </is>
      </c>
      <c r="C150" s="5" t="inlineStr"/>
      <c r="D150" s="5" t="n">
        <v>2745232</v>
      </c>
      <c r="E150" s="5" t="n">
        <v>2451100</v>
      </c>
      <c r="F150" s="5" t="inlineStr"/>
      <c r="G150" s="5" t="inlineStr">
        <is>
          <t>HPE</t>
        </is>
      </c>
      <c r="H150" s="5">
        <f>HYPERLINK("https://itrix.uz/product/121", "🔗 Mahsulot sotib olish")</f>
        <v/>
      </c>
      <c r="I150" t="inlineStr">
        <is>
          <t>2-121-127</t>
        </is>
      </c>
    </row>
    <row r="151" ht="30" customHeight="1">
      <c r="A151" s="4" t="inlineStr">
        <is>
          <t>Aksessuarlar</t>
        </is>
      </c>
      <c r="B151" s="4" t="inlineStr">
        <is>
          <t>Intel X710-DA2 SFP+ tarmoq kartasi</t>
        </is>
      </c>
      <c r="C151" s="5" t="inlineStr"/>
      <c r="D151" s="5" t="n">
        <v>2702560</v>
      </c>
      <c r="E151" s="5" t="n">
        <v>2413000</v>
      </c>
      <c r="F151" s="5" t="inlineStr"/>
      <c r="G151" s="5" t="inlineStr">
        <is>
          <t>Intel</t>
        </is>
      </c>
      <c r="H151" s="5">
        <f>HYPERLINK("https://itrix.uz/product/122", "🔗 Mahsulot sotib olish")</f>
        <v/>
      </c>
      <c r="I151" t="inlineStr">
        <is>
          <t>2-122-128</t>
        </is>
      </c>
    </row>
    <row r="152" ht="30" customHeight="1">
      <c r="A152" s="4" t="inlineStr">
        <is>
          <t>Aksessuarlar</t>
        </is>
      </c>
      <c r="B152" s="4" t="inlineStr">
        <is>
          <t>HPE 560SFP+ 10Gb 2-port PCIe tarmoq kartasi</t>
        </is>
      </c>
      <c r="C152" s="5" t="inlineStr"/>
      <c r="D152" s="5" t="n">
        <v>4110736</v>
      </c>
      <c r="E152" s="5" t="n">
        <v>3670300</v>
      </c>
      <c r="F152" s="5" t="inlineStr"/>
      <c r="G152" s="5" t="inlineStr">
        <is>
          <t>HPE</t>
        </is>
      </c>
      <c r="H152" s="5">
        <f>HYPERLINK("https://itrix.uz/product/123", "🔗 Mahsulot sotib olish")</f>
        <v/>
      </c>
      <c r="I152" t="inlineStr">
        <is>
          <t>2-123-129</t>
        </is>
      </c>
    </row>
    <row r="153" ht="30" customHeight="1">
      <c r="A153" s="4" t="inlineStr">
        <is>
          <t>Aksessuarlar</t>
        </is>
      </c>
      <c r="B153" s="4" t="inlineStr">
        <is>
          <t>HPE SN1200E 16G 2-port FC HBA Adapter</t>
        </is>
      </c>
      <c r="C153" s="5" t="inlineStr"/>
      <c r="D153" s="5" t="n">
        <v>11635232</v>
      </c>
      <c r="E153" s="5" t="n">
        <v>10388600</v>
      </c>
      <c r="F153" s="5" t="inlineStr"/>
      <c r="G153" s="5" t="inlineStr">
        <is>
          <t>HPE</t>
        </is>
      </c>
      <c r="H153" s="5">
        <f>HYPERLINK("https://itrix.uz/product/124", "🔗 Mahsulot sotib olish")</f>
        <v/>
      </c>
      <c r="I153" t="inlineStr">
        <is>
          <t>2-124-130</t>
        </is>
      </c>
    </row>
    <row r="154" ht="30" customHeight="1">
      <c r="A154" s="4" t="inlineStr">
        <is>
          <t>Aksessuarlar</t>
        </is>
      </c>
      <c r="B154" s="4" t="inlineStr">
        <is>
          <t>DELL R750 R7525 Silver High Performance Fan ventilyatori</t>
        </is>
      </c>
      <c r="C154" s="5" t="inlineStr"/>
      <c r="D154" s="5" t="n">
        <v>682752</v>
      </c>
      <c r="E154" s="5" t="n">
        <v>609600</v>
      </c>
      <c r="F154" s="5" t="inlineStr"/>
      <c r="G154" s="5" t="inlineStr">
        <is>
          <t>Dell</t>
        </is>
      </c>
      <c r="H154" s="5">
        <f>HYPERLINK("https://itrix.uz/product/125", "🔗 Mahsulot sotib olish")</f>
        <v/>
      </c>
      <c r="I154" t="inlineStr">
        <is>
          <t>2-125-131</t>
        </is>
      </c>
    </row>
    <row r="155" ht="30" customHeight="1">
      <c r="A155" s="4" t="inlineStr">
        <is>
          <t>Aksessuarlar</t>
        </is>
      </c>
      <c r="B155" s="4" t="inlineStr">
        <is>
          <t>HPE DL380 G10 Plus Max High Performance Fan ventilyator moduli</t>
        </is>
      </c>
      <c r="C155" s="5" t="inlineStr"/>
      <c r="D155" s="5" t="n">
        <v>1024128</v>
      </c>
      <c r="E155" s="5" t="n">
        <v>914400</v>
      </c>
      <c r="F155" s="5" t="inlineStr"/>
      <c r="G155" s="5" t="inlineStr">
        <is>
          <t>HPE</t>
        </is>
      </c>
      <c r="H155" s="5">
        <f>HYPERLINK("https://itrix.uz/product/127", "🔗 Mahsulot sotib olish")</f>
        <v/>
      </c>
      <c r="I155" t="inlineStr">
        <is>
          <t>2-127-133</t>
        </is>
      </c>
    </row>
    <row r="156" ht="30" customHeight="1">
      <c r="A156" s="4" t="inlineStr">
        <is>
          <t>Aksessuarlar</t>
        </is>
      </c>
      <c r="B156" s="4" t="inlineStr">
        <is>
          <t>Broadcom 5720 1Gb 2-port PCIe tarmoq kartasi</t>
        </is>
      </c>
      <c r="C156" s="5" t="inlineStr"/>
      <c r="D156" s="5" t="n">
        <v>2048256</v>
      </c>
      <c r="E156" s="5" t="n">
        <v>1828800</v>
      </c>
      <c r="F156" s="5" t="inlineStr"/>
      <c r="G156" s="5" t="inlineStr">
        <is>
          <t>Dell</t>
        </is>
      </c>
      <c r="H156" s="5">
        <f>HYPERLINK("https://itrix.uz/product/128", "🔗 Mahsulot sotib olish")</f>
        <v/>
      </c>
      <c r="I156" t="inlineStr">
        <is>
          <t>2-128-134</t>
        </is>
      </c>
    </row>
    <row r="157" ht="30" customHeight="1">
      <c r="A157" s="4" t="inlineStr">
        <is>
          <t>Aksessuarlar</t>
        </is>
      </c>
      <c r="B157" s="4" t="inlineStr">
        <is>
          <t>16Gb FC Single Channel HBA PCI-E 3.0 P9D93A SFP+  (SN1100Q) Adapter</t>
        </is>
      </c>
      <c r="C157" s="5" t="inlineStr"/>
      <c r="D157" s="5" t="n">
        <v>7823200</v>
      </c>
      <c r="E157" s="5" t="n">
        <v>6985000</v>
      </c>
      <c r="F157" s="5" t="inlineStr"/>
      <c r="G157" s="5" t="inlineStr">
        <is>
          <t>HPE</t>
        </is>
      </c>
      <c r="H157" s="5">
        <f>HYPERLINK("https://itrix.uz/product/129", "🔗 Mahsulot sotib olish")</f>
        <v/>
      </c>
      <c r="I157" t="inlineStr">
        <is>
          <t>2-129-135</t>
        </is>
      </c>
    </row>
    <row r="158" ht="30" customHeight="1">
      <c r="A158" s="4" t="inlineStr">
        <is>
          <t>Aksessuarlar</t>
        </is>
      </c>
      <c r="B158" s="4" t="inlineStr">
        <is>
          <t>HPE Broadcom BCM5719 Ethernet 1Gb 4-port BASE-T PCIe tarmoq adapteri</t>
        </is>
      </c>
      <c r="C158" s="5" t="inlineStr"/>
      <c r="D158" s="5" t="n">
        <v>2731008</v>
      </c>
      <c r="E158" s="5" t="n">
        <v>2438400</v>
      </c>
      <c r="F158" s="5" t="inlineStr"/>
      <c r="G158" s="5" t="inlineStr">
        <is>
          <t>HPE</t>
        </is>
      </c>
      <c r="H158" s="5">
        <f>HYPERLINK("https://itrix.uz/product/131", "🔗 Mahsulot sotib olish")</f>
        <v/>
      </c>
      <c r="I158" t="inlineStr">
        <is>
          <t>2-131-137</t>
        </is>
      </c>
    </row>
    <row r="159" ht="30" customHeight="1">
      <c r="A159" s="4" t="inlineStr">
        <is>
          <t>Aksessuarlar</t>
        </is>
      </c>
      <c r="B159" s="4" t="inlineStr">
        <is>
          <t>HPE Broadcom BCM57414 Ethernet 10/25Gb 2-port SFP28 tarmoq adapteri</t>
        </is>
      </c>
      <c r="C159" s="5" t="inlineStr"/>
      <c r="D159" s="5" t="n">
        <v>5476240</v>
      </c>
      <c r="E159" s="5" t="n">
        <v>4889500</v>
      </c>
      <c r="F159" s="5" t="inlineStr"/>
      <c r="G159" s="5" t="inlineStr">
        <is>
          <t>HPE</t>
        </is>
      </c>
      <c r="H159" s="5">
        <f>HYPERLINK("https://itrix.uz/product/133", "🔗 Mahsulot sotib olish")</f>
        <v/>
      </c>
      <c r="I159" t="inlineStr">
        <is>
          <t>2-133-139</t>
        </is>
      </c>
    </row>
    <row r="160" ht="30" customHeight="1">
      <c r="A160" s="4" t="inlineStr">
        <is>
          <t>RAID-kontroller</t>
        </is>
      </c>
      <c r="B160" s="4" t="inlineStr">
        <is>
          <t>HPE Smart Array E208e-p SR Gen10 12G SAS 8Ext SA PCIe apparat RAID nazoratchisi</t>
        </is>
      </c>
      <c r="C160" s="5" t="inlineStr"/>
      <c r="D160" s="5" t="n">
        <v>3499104</v>
      </c>
      <c r="E160" s="5" t="n">
        <v>3124200</v>
      </c>
      <c r="F160" s="5" t="inlineStr"/>
      <c r="G160" s="5" t="inlineStr">
        <is>
          <t>HPE</t>
        </is>
      </c>
      <c r="H160" s="5">
        <f>HYPERLINK("https://itrix.uz/product/145", "🔗 Mahsulot sotib olish")</f>
        <v/>
      </c>
      <c r="I160" t="inlineStr">
        <is>
          <t>2-145-151</t>
        </is>
      </c>
    </row>
    <row r="161" ht="30" customHeight="1">
      <c r="A161" s="4" t="inlineStr">
        <is>
          <t>RAID-kontroller</t>
        </is>
      </c>
      <c r="B161" s="4" t="inlineStr">
        <is>
          <t>HPE P408i-a SR (Ichki) 2GB kesh 12G SAS PCIe (96W batareya bilan) apparat RAID nazoratchisi</t>
        </is>
      </c>
      <c r="C161" s="5" t="inlineStr"/>
      <c r="D161" s="5" t="n">
        <v>6841744</v>
      </c>
      <c r="E161" s="5" t="n">
        <v>6108700</v>
      </c>
      <c r="F161" s="5" t="inlineStr"/>
      <c r="G161" s="5" t="inlineStr">
        <is>
          <t>HPE</t>
        </is>
      </c>
      <c r="H161" s="5">
        <f>HYPERLINK("https://itrix.uz/product/147", "🔗 Mahsulot sotib olish")</f>
        <v/>
      </c>
      <c r="I161" t="inlineStr">
        <is>
          <t>2-147-153</t>
        </is>
      </c>
    </row>
    <row r="162" ht="30" customHeight="1">
      <c r="A162" s="4" t="inlineStr">
        <is>
          <t>RAID-kontroller</t>
        </is>
      </c>
      <c r="B162" s="4" t="inlineStr">
        <is>
          <t>HPE P408e-p SR (Tashqi) 4GB kesh 12G SAS PCIe (96W batareya bilan) tashqi apparat RAID nazoratchisi</t>
        </is>
      </c>
      <c r="C162" s="5" t="inlineStr"/>
      <c r="D162" s="5" t="n">
        <v>6841744</v>
      </c>
      <c r="E162" s="5" t="n">
        <v>6108700</v>
      </c>
      <c r="F162" s="5" t="inlineStr"/>
      <c r="G162" s="5" t="inlineStr">
        <is>
          <t>HPE</t>
        </is>
      </c>
      <c r="H162" s="5">
        <f>HYPERLINK("https://itrix.uz/product/146", "🔗 Mahsulot sotib olish")</f>
        <v/>
      </c>
      <c r="I162" t="inlineStr">
        <is>
          <t>2-146-152</t>
        </is>
      </c>
    </row>
    <row r="163" ht="30" customHeight="1">
      <c r="A163" s="4" t="inlineStr">
        <is>
          <t>RAID-kontroller</t>
        </is>
      </c>
      <c r="B163" s="4" t="inlineStr">
        <is>
          <t>HPE P816i-a SR (Ichki) 4GB kesh 12G SAS PCIe (96W batareya bilan) ichki apparat RAID nazoratchisi</t>
        </is>
      </c>
      <c r="C163" s="5" t="inlineStr"/>
      <c r="D163" s="5" t="n">
        <v>7410704</v>
      </c>
      <c r="E163" s="5" t="n">
        <v>6616700</v>
      </c>
      <c r="F163" s="5" t="inlineStr"/>
      <c r="G163" s="5" t="inlineStr">
        <is>
          <t>HPE</t>
        </is>
      </c>
      <c r="H163" s="5">
        <f>HYPERLINK("https://itrix.uz/product/148", "🔗 Mahsulot sotib olish")</f>
        <v/>
      </c>
      <c r="I163" t="inlineStr">
        <is>
          <t>2-148-154</t>
        </is>
      </c>
    </row>
    <row r="164" ht="30" customHeight="1">
      <c r="A164" s="4" t="inlineStr">
        <is>
          <t>RAID-kontroller</t>
        </is>
      </c>
      <c r="B164" s="4" t="inlineStr">
        <is>
          <t>HPE DL38X Gen10 12Gb SAS Expander Card Kit kabel bilan</t>
        </is>
      </c>
      <c r="C164" s="5" t="inlineStr"/>
      <c r="D164" s="5" t="n">
        <v>8733536</v>
      </c>
      <c r="E164" s="5" t="n">
        <v>7797800</v>
      </c>
      <c r="F164" s="5" t="inlineStr"/>
      <c r="G164" s="5" t="inlineStr">
        <is>
          <t>HPE</t>
        </is>
      </c>
      <c r="H164" s="5">
        <f>HYPERLINK("https://itrix.uz/product/149", "🔗 Mahsulot sotib olish")</f>
        <v/>
      </c>
      <c r="I164" t="inlineStr">
        <is>
          <t>2-149-155</t>
        </is>
      </c>
    </row>
    <row r="165" ht="30" customHeight="1">
      <c r="A165" s="4" t="inlineStr">
        <is>
          <t>RAID-kontroller</t>
        </is>
      </c>
      <c r="B165" s="4" t="inlineStr">
        <is>
          <t>DELL PERC H755 8Gb RAID apparat RAID nazoratchisi</t>
        </is>
      </c>
      <c r="C165" s="5" t="inlineStr"/>
      <c r="D165" s="5" t="n">
        <v>8207248</v>
      </c>
      <c r="E165" s="5" t="n">
        <v>7327900</v>
      </c>
      <c r="F165" s="5" t="inlineStr"/>
      <c r="G165" s="5" t="inlineStr">
        <is>
          <t>Dell</t>
        </is>
      </c>
      <c r="H165" s="5">
        <f>HYPERLINK("https://itrix.uz/product/150", "🔗 Mahsulot sotib olish")</f>
        <v/>
      </c>
      <c r="I165" t="inlineStr">
        <is>
          <t>2-150-156</t>
        </is>
      </c>
    </row>
    <row r="166" ht="30" customHeight="1">
      <c r="A166" s="4" t="inlineStr">
        <is>
          <t>RAID-kontroller</t>
        </is>
      </c>
      <c r="B166" s="4" t="inlineStr">
        <is>
          <t>DELL PERC H355 Adapter apparat RAID nazoratchisi</t>
        </is>
      </c>
      <c r="C166" s="5" t="inlineStr"/>
      <c r="D166" s="5" t="n">
        <v>3940048</v>
      </c>
      <c r="E166" s="5" t="n">
        <v>3517900</v>
      </c>
      <c r="F166" s="5" t="inlineStr"/>
      <c r="G166" s="5" t="inlineStr">
        <is>
          <t>Dell</t>
        </is>
      </c>
      <c r="H166" s="5">
        <f>HYPERLINK("https://itrix.uz/product/151", "🔗 Mahsulot sotib olish")</f>
        <v/>
      </c>
      <c r="I166" t="inlineStr">
        <is>
          <t>2-151-157</t>
        </is>
      </c>
    </row>
    <row r="167" ht="30" customHeight="1">
      <c r="A167" s="4" t="inlineStr">
        <is>
          <t>RAID-kontroller</t>
        </is>
      </c>
      <c r="B167" s="4" t="inlineStr">
        <is>
          <t>DELL PERC H755N 8Gb RAID NVMe apparat RAID nazoratchisi</t>
        </is>
      </c>
      <c r="C167" s="5" t="inlineStr"/>
      <c r="D167" s="5" t="n">
        <v>7723632</v>
      </c>
      <c r="E167" s="5" t="n">
        <v>6896100</v>
      </c>
      <c r="F167" s="5" t="inlineStr"/>
      <c r="G167" s="5" t="inlineStr">
        <is>
          <t>Dell</t>
        </is>
      </c>
      <c r="H167" s="5">
        <f>HYPERLINK("https://itrix.uz/product/153", "🔗 Mahsulot sotib olish")</f>
        <v/>
      </c>
      <c r="I167" t="inlineStr">
        <is>
          <t>2-153-159</t>
        </is>
      </c>
    </row>
    <row r="168" ht="30" customHeight="1">
      <c r="A168" s="4" t="inlineStr">
        <is>
          <t>Quvvat ta'minoti</t>
        </is>
      </c>
      <c r="B168" s="4" t="inlineStr">
        <is>
          <t>HPE 500W Flex Slot Platinum Hot Plug quvvat bloki</t>
        </is>
      </c>
      <c r="C168" s="5" t="inlineStr"/>
      <c r="D168" s="5" t="n">
        <v>2034032</v>
      </c>
      <c r="E168" s="5" t="n">
        <v>1816100</v>
      </c>
      <c r="F168" s="5" t="inlineStr"/>
      <c r="G168" s="5" t="inlineStr">
        <is>
          <t>HPE</t>
        </is>
      </c>
      <c r="H168" s="5">
        <f>HYPERLINK("https://itrix.uz/product/154", "🔗 Mahsulot sotib olish")</f>
        <v/>
      </c>
      <c r="I168" t="inlineStr">
        <is>
          <t>2-154-160</t>
        </is>
      </c>
    </row>
    <row r="169" ht="30" customHeight="1">
      <c r="A169" s="4" t="inlineStr">
        <is>
          <t>Quvvat ta'minoti</t>
        </is>
      </c>
      <c r="B169" s="4" t="inlineStr">
        <is>
          <t>HPE 800W Flex Slot Platinum Hot Plug quvvat bloki</t>
        </is>
      </c>
      <c r="C169" s="5" t="inlineStr"/>
      <c r="D169" s="5" t="n">
        <v>2745232</v>
      </c>
      <c r="E169" s="5" t="n">
        <v>2451100</v>
      </c>
      <c r="F169" s="5" t="inlineStr"/>
      <c r="G169" s="5" t="inlineStr">
        <is>
          <t>HPE</t>
        </is>
      </c>
      <c r="H169" s="5">
        <f>HYPERLINK("https://itrix.uz/product/156", "🔗 Mahsulot sotib olish")</f>
        <v/>
      </c>
      <c r="I169" t="inlineStr">
        <is>
          <t>2-156-162</t>
        </is>
      </c>
    </row>
    <row r="170" ht="30" customHeight="1">
      <c r="A170" s="4" t="inlineStr">
        <is>
          <t>Tarkibiy qismlar</t>
        </is>
      </c>
      <c r="B170" s="4" t="inlineStr">
        <is>
          <t>On-line uzluksiz quvvat manbai 40 kVA Intelligent SNR</t>
        </is>
      </c>
      <c r="C170" s="5" t="inlineStr"/>
      <c r="D170" s="5" t="n">
        <v>60193550</v>
      </c>
      <c r="E170" s="5" t="n">
        <v>53744241</v>
      </c>
      <c r="F170" s="5" t="inlineStr"/>
      <c r="G170" s="5" t="inlineStr">
        <is>
          <t>SNR</t>
        </is>
      </c>
      <c r="H170" s="5">
        <f>HYPERLINK("https://itrix.uz/product/884", "🔗 Mahsulot sotib olish")</f>
        <v/>
      </c>
      <c r="I170" t="inlineStr">
        <is>
          <t>2-884-774</t>
        </is>
      </c>
    </row>
    <row r="171" ht="30" customHeight="1">
      <c r="A171" s="4" t="inlineStr">
        <is>
          <t>Quvvat ta'minoti</t>
        </is>
      </c>
      <c r="B171" s="4" t="inlineStr">
        <is>
          <t>Dell 2400W Platinum darajadagi quvvat bloki (PSU)</t>
        </is>
      </c>
      <c r="C171" s="5" t="inlineStr"/>
      <c r="D171" s="5" t="n">
        <v>9131808</v>
      </c>
      <c r="E171" s="5" t="n">
        <v>8153400</v>
      </c>
      <c r="F171" s="5" t="inlineStr"/>
      <c r="G171" s="5" t="inlineStr"/>
      <c r="H171" s="5">
        <f>HYPERLINK("https://itrix.uz/product/564", "🔗 Mahsulot sotib olish")</f>
        <v/>
      </c>
      <c r="I171" t="inlineStr">
        <is>
          <t>2-564-527</t>
        </is>
      </c>
    </row>
    <row r="172" ht="30" customHeight="1">
      <c r="A172" s="4" t="inlineStr">
        <is>
          <t>Aksessuarlar</t>
        </is>
      </c>
      <c r="B172" s="4" t="inlineStr">
        <is>
          <t>Mellanox ConnectX-5 MCX556A-ECAT 2x 100GbE QSFP28 tarmoq kartasi, PCIe x16</t>
        </is>
      </c>
      <c r="C172" s="5" t="inlineStr"/>
      <c r="D172" s="5" t="n">
        <v>42672000</v>
      </c>
      <c r="E172" s="5" t="n">
        <v>38100000</v>
      </c>
      <c r="F172" s="5" t="inlineStr"/>
      <c r="G172" s="5" t="inlineStr"/>
      <c r="H172" s="5">
        <f>HYPERLINK("https://itrix.uz/product/557", "🔗 Mahsulot sotib olish")</f>
        <v/>
      </c>
      <c r="I172" t="inlineStr">
        <is>
          <t>2-557-520</t>
        </is>
      </c>
    </row>
    <row r="173" ht="30" customHeight="1">
      <c r="A173" s="4" t="inlineStr">
        <is>
          <t>Aksessuarlar</t>
        </is>
      </c>
      <c r="B173" s="4" t="inlineStr">
        <is>
          <t>ZTT LC–LC OM4/LSZH duplex 3m patch-kabel</t>
        </is>
      </c>
      <c r="C173" s="5" t="inlineStr"/>
      <c r="D173" s="5" t="n">
        <v>1991360</v>
      </c>
      <c r="E173" s="5" t="n">
        <v>1778000</v>
      </c>
      <c r="F173" s="5" t="inlineStr"/>
      <c r="G173" s="5" t="inlineStr"/>
      <c r="H173" s="5">
        <f>HYPERLINK("https://itrix.uz/product/562", "🔗 Mahsulot sotib olish")</f>
        <v/>
      </c>
      <c r="I173" t="inlineStr">
        <is>
          <t>2-562-525</t>
        </is>
      </c>
    </row>
    <row r="174" ht="30" customHeight="1">
      <c r="A174" s="4" t="inlineStr">
        <is>
          <t>Tarkibiy qismlar</t>
        </is>
      </c>
      <c r="B174" s="4" t="inlineStr">
        <is>
          <t>Western Digital My Book 8TB tashqi qattiq disk (USB 3.0)</t>
        </is>
      </c>
      <c r="C174" s="5" t="inlineStr"/>
      <c r="D174" s="5" t="n">
        <v>12744704</v>
      </c>
      <c r="E174" s="5" t="n">
        <v>11379200</v>
      </c>
      <c r="F174" s="5" t="inlineStr"/>
      <c r="G174" s="5" t="inlineStr">
        <is>
          <t>Western Digital</t>
        </is>
      </c>
      <c r="H174" s="5">
        <f>HYPERLINK("https://itrix.uz/product/596", "🔗 Mahsulot sotib olish")</f>
        <v/>
      </c>
      <c r="I174" t="inlineStr">
        <is>
          <t>2-596-551</t>
        </is>
      </c>
    </row>
    <row r="175" ht="30" customHeight="1">
      <c r="A175" s="4" t="inlineStr">
        <is>
          <t>Aksessuarlar</t>
        </is>
      </c>
      <c r="B175" s="4" t="inlineStr">
        <is>
          <t>Extralink DAC kabeli QSFP28, 100Gb/s, 1 metr, passiv</t>
        </is>
      </c>
      <c r="C175" s="5" t="inlineStr"/>
      <c r="D175" s="5" t="n">
        <v>910336</v>
      </c>
      <c r="E175" s="5" t="n">
        <v>812800</v>
      </c>
      <c r="F175" s="5" t="inlineStr"/>
      <c r="G175" s="5" t="inlineStr"/>
      <c r="H175" s="5">
        <f>HYPERLINK("https://itrix.uz/product/560", "🔗 Mahsulot sotib olish")</f>
        <v/>
      </c>
      <c r="I175" t="inlineStr">
        <is>
          <t>2-560-523</t>
        </is>
      </c>
    </row>
    <row r="176" ht="30" customHeight="1">
      <c r="A176" s="4" t="inlineStr">
        <is>
          <t>Aksessuarlar</t>
        </is>
      </c>
      <c r="B176" s="4" t="inlineStr">
        <is>
          <t>LC/UPC–SC/UPC SM G.657.A1 3 metrli optik patch-kabel</t>
        </is>
      </c>
      <c r="C176" s="5" t="inlineStr"/>
      <c r="D176" s="5" t="n">
        <v>113792</v>
      </c>
      <c r="E176" s="5" t="n">
        <v>101600</v>
      </c>
      <c r="F176" s="5" t="inlineStr"/>
      <c r="G176" s="5" t="inlineStr"/>
      <c r="H176" s="5">
        <f>HYPERLINK("https://itrix.uz/product/563", "🔗 Mahsulot sotib olish")</f>
        <v/>
      </c>
      <c r="I176" t="inlineStr">
        <is>
          <t>2-563-526</t>
        </is>
      </c>
    </row>
    <row r="177" ht="30" customHeight="1">
      <c r="A177" s="4" t="inlineStr">
        <is>
          <t>Aksessuarlar</t>
        </is>
      </c>
      <c r="B177" s="4" t="inlineStr">
        <is>
          <t>Dell SFP28 SR 25GbE optik moduli, 85°C gacha, barcha SFP28 portlari uchun</t>
        </is>
      </c>
      <c r="C177" s="5" t="inlineStr"/>
      <c r="D177" s="5" t="n">
        <v>1906016</v>
      </c>
      <c r="E177" s="5" t="n">
        <v>1701800</v>
      </c>
      <c r="F177" s="5" t="inlineStr"/>
      <c r="G177" s="5" t="inlineStr">
        <is>
          <t>Dell</t>
        </is>
      </c>
      <c r="H177" s="5">
        <f>HYPERLINK("https://itrix.uz/product/559", "🔗 Mahsulot sotib olish")</f>
        <v/>
      </c>
      <c r="I177" t="inlineStr">
        <is>
          <t>2-559-522</t>
        </is>
      </c>
    </row>
    <row r="178" ht="30" customHeight="1">
      <c r="A178" s="4" t="inlineStr">
        <is>
          <t>Tarkibiy qismlar</t>
        </is>
      </c>
      <c r="B178" s="4" t="inlineStr">
        <is>
          <t>SNR ELEMENT II Onlayn UPS 2000VA/2000W (PF-1.0)</t>
        </is>
      </c>
      <c r="C178" s="5" t="inlineStr"/>
      <c r="D178" s="5" t="n">
        <v>8662416</v>
      </c>
      <c r="E178" s="5" t="n">
        <v>7734300</v>
      </c>
      <c r="F178" s="5" t="inlineStr"/>
      <c r="G178" s="5" t="inlineStr">
        <is>
          <t>SNR</t>
        </is>
      </c>
      <c r="H178" s="5">
        <f>HYPERLINK("https://itrix.uz/product/886", "🔗 Mahsulot sotib olish")</f>
        <v/>
      </c>
      <c r="I178" t="inlineStr">
        <is>
          <t>2-886-776</t>
        </is>
      </c>
    </row>
    <row r="179" ht="30" customHeight="1">
      <c r="A179" s="4" t="inlineStr">
        <is>
          <t>Dasturiy ta'minot litsenziyalari</t>
        </is>
      </c>
      <c r="B179" s="4" t="inlineStr">
        <is>
          <t>VMware vSphere 8 Enterprise Plus litsenziyasi (1 ta CPU uchun)</t>
        </is>
      </c>
      <c r="C179" s="5" t="inlineStr"/>
      <c r="D179" s="5" t="n">
        <v>11379200</v>
      </c>
      <c r="E179" s="5" t="n">
        <v>10160000</v>
      </c>
      <c r="F179" s="5" t="inlineStr"/>
      <c r="G179" s="5" t="inlineStr"/>
      <c r="H179" s="5">
        <f>HYPERLINK("https://itrix.uz/product/566", "🔗 Mahsulot sotib olish")</f>
        <v/>
      </c>
      <c r="I179" t="inlineStr">
        <is>
          <t>2-566-528</t>
        </is>
      </c>
    </row>
    <row r="180" ht="30" customHeight="1">
      <c r="A180" s="4" t="inlineStr">
        <is>
          <t>Dasturiy ta'minot litsenziyalari</t>
        </is>
      </c>
      <c r="B180" s="4" t="inlineStr">
        <is>
          <t>VMware vCenter Server Standard + SnS 3 yilga</t>
        </is>
      </c>
      <c r="C180" s="5" t="inlineStr"/>
      <c r="D180" s="5" t="n">
        <v>21336000</v>
      </c>
      <c r="E180" s="5" t="n">
        <v>19050000</v>
      </c>
      <c r="F180" s="5" t="inlineStr"/>
      <c r="G180" s="5" t="inlineStr"/>
      <c r="H180" s="5">
        <f>HYPERLINK("https://itrix.uz/product/567", "🔗 Mahsulot sotib olish")</f>
        <v/>
      </c>
      <c r="I180" t="inlineStr">
        <is>
          <t>2-567-529</t>
        </is>
      </c>
    </row>
    <row r="181" ht="30" customHeight="1">
      <c r="A181" s="4" t="inlineStr">
        <is>
          <t>Dasturiy ta'minot litsenziyalari</t>
        </is>
      </c>
      <c r="B181" s="4" t="inlineStr">
        <is>
          <t>VMware vSphere SnS (yordam va obuna) – 3 yilga</t>
        </is>
      </c>
      <c r="C181" s="5" t="inlineStr"/>
      <c r="D181" s="5" t="n">
        <v>4267200</v>
      </c>
      <c r="E181" s="5" t="n">
        <v>3810000</v>
      </c>
      <c r="F181" s="5" t="inlineStr"/>
      <c r="G181" s="5" t="inlineStr"/>
      <c r="H181" s="5">
        <f>HYPERLINK("https://itrix.uz/product/568", "🔗 Mahsulot sotib olish")</f>
        <v/>
      </c>
      <c r="I181" t="inlineStr">
        <is>
          <t>2-568-530</t>
        </is>
      </c>
    </row>
    <row r="182" ht="30" customHeight="1">
      <c r="A182" s="4" t="inlineStr">
        <is>
          <t>SSD qattiq disklari</t>
        </is>
      </c>
      <c r="B182" s="4" t="inlineStr">
        <is>
          <t xml:space="preserve"> SSD nakoplagich HPE 7.68TB SAS RI BC SED FIPS PM6</t>
        </is>
      </c>
      <c r="C182" s="5" t="inlineStr"/>
      <c r="D182" s="5" t="n">
        <v>170161712</v>
      </c>
      <c r="E182" s="5" t="n">
        <v>151930100</v>
      </c>
      <c r="F182" s="5" t="inlineStr"/>
      <c r="G182" s="5" t="inlineStr">
        <is>
          <t>HPE</t>
        </is>
      </c>
      <c r="H182" s="5">
        <f>HYPERLINK("https://itrix.uz/product/525", "🔗 Mahsulot sotib olish")</f>
        <v/>
      </c>
      <c r="I182" t="inlineStr">
        <is>
          <t>2-525-499</t>
        </is>
      </c>
    </row>
    <row r="183" ht="30" customHeight="1">
      <c r="A183" s="4" t="inlineStr">
        <is>
          <t>Aksessuarlar</t>
        </is>
      </c>
      <c r="B183" s="4" t="inlineStr">
        <is>
          <t>C13 – C14 quvvat kabeli, 2.5 metr</t>
        </is>
      </c>
      <c r="C183" s="5" t="inlineStr"/>
      <c r="D183" s="5" t="n">
        <v>227584</v>
      </c>
      <c r="E183" s="5" t="n">
        <v>203200</v>
      </c>
      <c r="F183" s="5" t="inlineStr"/>
      <c r="G183" s="5" t="inlineStr"/>
      <c r="H183" s="5">
        <f>HYPERLINK("https://itrix.uz/product/545", "🔗 Mahsulot sotib olish")</f>
        <v/>
      </c>
      <c r="I183" t="inlineStr">
        <is>
          <t>2-545-509</t>
        </is>
      </c>
    </row>
    <row r="184" ht="30" customHeight="1">
      <c r="A184" s="4" t="inlineStr">
        <is>
          <t>M2 SATA disklar</t>
        </is>
      </c>
      <c r="B184" s="4" t="inlineStr">
        <is>
          <t>HPE 480GB SATA RI SSD M.2 6G xotira qurilmasi</t>
        </is>
      </c>
      <c r="C184" s="5" t="inlineStr"/>
      <c r="D184" s="5" t="n">
        <v>3143504</v>
      </c>
      <c r="E184" s="5" t="n">
        <v>2806700</v>
      </c>
      <c r="F184" s="5" t="inlineStr"/>
      <c r="G184" s="5" t="inlineStr">
        <is>
          <t>HPE</t>
        </is>
      </c>
      <c r="H184" s="5">
        <f>HYPERLINK("https://itrix.uz/product/540", "🔗 Mahsulot sotib olish")</f>
        <v/>
      </c>
      <c r="I184" t="inlineStr">
        <is>
          <t>2-540-505</t>
        </is>
      </c>
    </row>
    <row r="185" ht="30" customHeight="1">
      <c r="A185" s="4" t="inlineStr">
        <is>
          <t>Protsessorlar</t>
        </is>
      </c>
      <c r="B185" s="4" t="inlineStr">
        <is>
          <t xml:space="preserve"> Intel Xeon Gold 6448H (2.4GHz / 32 yadro / 250W) </t>
        </is>
      </c>
      <c r="C185" s="5" t="inlineStr"/>
      <c r="D185" s="5" t="n">
        <v>164998400</v>
      </c>
      <c r="E185" s="5" t="n">
        <v>147320000</v>
      </c>
      <c r="F185" s="5" t="inlineStr"/>
      <c r="G185" s="5" t="inlineStr">
        <is>
          <t>Intel</t>
        </is>
      </c>
      <c r="H185" s="5">
        <f>HYPERLINK("https://itrix.uz/product/538", "🔗 Mahsulot sotib olish")</f>
        <v/>
      </c>
      <c r="I185" t="inlineStr">
        <is>
          <t>2-538-503</t>
        </is>
      </c>
    </row>
    <row r="186" ht="30" customHeight="1">
      <c r="A186" s="4" t="inlineStr">
        <is>
          <t>Dasturiy ta'minot litsenziyalari</t>
        </is>
      </c>
      <c r="B186" s="4" t="inlineStr">
        <is>
          <t>FortiGuard Enterprise Protection Bundle – 3 yillik litsenziya</t>
        </is>
      </c>
      <c r="C186" s="5" t="inlineStr"/>
      <c r="D186" s="5" t="n">
        <v>217228928</v>
      </c>
      <c r="E186" s="5" t="n">
        <v>193954400</v>
      </c>
      <c r="F186" s="5" t="inlineStr"/>
      <c r="G186" s="5" t="inlineStr"/>
      <c r="H186" s="5">
        <f>HYPERLINK("https://itrix.uz/product/611", "🔗 Mahsulot sotib olish")</f>
        <v/>
      </c>
      <c r="I186" t="inlineStr">
        <is>
          <t>2-611-565</t>
        </is>
      </c>
    </row>
    <row r="187" ht="30" customHeight="1">
      <c r="A187" s="4" t="inlineStr">
        <is>
          <t>Aksessuarlar</t>
        </is>
      </c>
      <c r="B187" s="4" t="inlineStr">
        <is>
          <t>HPE SN1700Q 64Gb DP FC HBA (R7N87A) adapteri — ikki portli Fibre Channel host adapter</t>
        </is>
      </c>
      <c r="C187" s="5" t="inlineStr"/>
      <c r="D187" s="5" t="n">
        <v>43297856</v>
      </c>
      <c r="E187" s="5" t="n">
        <v>38658800</v>
      </c>
      <c r="F187" s="5" t="inlineStr"/>
      <c r="G187" s="5" t="inlineStr">
        <is>
          <t>HPE</t>
        </is>
      </c>
      <c r="H187" s="5">
        <f>HYPERLINK("https://itrix.uz/product/541", "🔗 Mahsulot sotib olish")</f>
        <v/>
      </c>
      <c r="I187" t="inlineStr">
        <is>
          <t>2-541-506</t>
        </is>
      </c>
    </row>
    <row r="188" ht="30" customHeight="1">
      <c r="A188" s="4" t="inlineStr">
        <is>
          <t>Aksessuarlar</t>
        </is>
      </c>
      <c r="B188" s="4" t="inlineStr">
        <is>
          <t>HPE DL380/DL560 G11 yuqori unumli 2U sovitish (Heat Sink) to‘plami</t>
        </is>
      </c>
      <c r="C188" s="5" t="inlineStr"/>
      <c r="D188" s="5" t="n">
        <v>2133600</v>
      </c>
      <c r="E188" s="5" t="n">
        <v>1905000</v>
      </c>
      <c r="F188" s="5" t="inlineStr"/>
      <c r="G188" s="5" t="inlineStr">
        <is>
          <t>HPE</t>
        </is>
      </c>
      <c r="H188" s="5">
        <f>HYPERLINK("https://itrix.uz/product/526", "🔗 Mahsulot sotib olish")</f>
        <v/>
      </c>
      <c r="I188" t="inlineStr">
        <is>
          <t>2-526-500</t>
        </is>
      </c>
    </row>
    <row r="189" ht="30" customHeight="1">
      <c r="A189" s="4" t="inlineStr">
        <is>
          <t>Aksessuarlar</t>
        </is>
      </c>
      <c r="B189" s="4" t="inlineStr">
        <is>
          <t xml:space="preserve"> Dell HBA330 tashqi boshqaruvchisi</t>
        </is>
      </c>
      <c r="C189" s="5" t="inlineStr"/>
      <c r="D189" s="5" t="n">
        <v>2773680</v>
      </c>
      <c r="E189" s="5" t="n">
        <v>2476500</v>
      </c>
      <c r="F189" s="5" t="inlineStr"/>
      <c r="G189" s="5" t="inlineStr">
        <is>
          <t>Dell</t>
        </is>
      </c>
      <c r="H189" s="5">
        <f>HYPERLINK("https://itrix.uz/product/518", "🔗 Mahsulot sotib olish")</f>
        <v/>
      </c>
      <c r="I189" t="inlineStr">
        <is>
          <t>2-518-494</t>
        </is>
      </c>
    </row>
    <row r="190" ht="30" customHeight="1">
      <c r="A190" s="4" t="inlineStr">
        <is>
          <t>Tezkor xotira (RAM)</t>
        </is>
      </c>
      <c r="B190" s="4" t="inlineStr">
        <is>
          <t xml:space="preserve"> HPE P52600-001 128GB 4Rx4 PC5-4800B-R 3DS Smart to‘plami</t>
        </is>
      </c>
      <c r="C190" s="5" t="inlineStr"/>
      <c r="D190" s="5" t="n">
        <v>128016000</v>
      </c>
      <c r="E190" s="5" t="n">
        <v>114300000</v>
      </c>
      <c r="F190" s="5" t="inlineStr"/>
      <c r="G190" s="5" t="inlineStr">
        <is>
          <t>HPE</t>
        </is>
      </c>
      <c r="H190" s="5">
        <f>HYPERLINK("https://itrix.uz/product/522", "🔗 Mahsulot sotib olish")</f>
        <v/>
      </c>
      <c r="I190" t="inlineStr">
        <is>
          <t>2-522-496</t>
        </is>
      </c>
    </row>
    <row r="191" ht="30" customHeight="1">
      <c r="A191" s="4" t="inlineStr">
        <is>
          <t>Quvvat ta'minoti</t>
        </is>
      </c>
      <c r="B191" s="4" t="inlineStr">
        <is>
          <t>DELL Power Supply (1 PSU) 1100W Hot Plug, Mixed Mode, G15 uchun to‘plam</t>
        </is>
      </c>
      <c r="C191" s="5" t="inlineStr"/>
      <c r="D191" s="5" t="n">
        <v>3200400</v>
      </c>
      <c r="E191" s="5" t="n">
        <v>2857500</v>
      </c>
      <c r="F191" s="5" t="inlineStr"/>
      <c r="G191" s="5" t="inlineStr">
        <is>
          <t>Dell</t>
        </is>
      </c>
      <c r="H191" s="5">
        <f>HYPERLINK("https://itrix.uz/product/158", "🔗 Mahsulot sotib olish")</f>
        <v/>
      </c>
      <c r="I191" t="inlineStr">
        <is>
          <t>2-158-164</t>
        </is>
      </c>
    </row>
    <row r="192" ht="30" customHeight="1">
      <c r="A192" s="4" t="inlineStr">
        <is>
          <t>Tezkor xotira (RAM)</t>
        </is>
      </c>
      <c r="B192" s="4" t="inlineStr">
        <is>
          <t>Samsung 32GB DDR4-3200 operativ xotira</t>
        </is>
      </c>
      <c r="C192" s="5" t="inlineStr"/>
      <c r="D192" s="5" t="n">
        <v>1564640</v>
      </c>
      <c r="E192" s="5" t="n">
        <v>1397000</v>
      </c>
      <c r="F192" s="5" t="inlineStr"/>
      <c r="G192" s="5" t="inlineStr">
        <is>
          <t>Samsung</t>
        </is>
      </c>
      <c r="H192" s="5">
        <f>HYPERLINK("https://itrix.uz/product/85", "🔗 Mahsulot sotib olish")</f>
        <v/>
      </c>
      <c r="I192" t="inlineStr">
        <is>
          <t>2-85-91</t>
        </is>
      </c>
    </row>
    <row r="193" ht="30" customHeight="1">
      <c r="A193" s="4" t="inlineStr">
        <is>
          <t>Aksessuarlar</t>
        </is>
      </c>
      <c r="B193" s="4" t="inlineStr">
        <is>
          <t>2.5 dan 3.5 ga o‘tkazuvchi Tray adapter</t>
        </is>
      </c>
      <c r="C193" s="5" t="inlineStr"/>
      <c r="D193" s="5" t="n">
        <v>128016</v>
      </c>
      <c r="E193" s="5" t="n">
        <v>114300</v>
      </c>
      <c r="F193" s="5" t="inlineStr"/>
      <c r="G193" s="5" t="inlineStr"/>
      <c r="H193" s="5">
        <f>HYPERLINK("https://itrix.uz/product/647", "🔗 Mahsulot sotib olish")</f>
        <v/>
      </c>
      <c r="I193" t="inlineStr">
        <is>
          <t>2-647-585</t>
        </is>
      </c>
    </row>
    <row r="194" ht="30" customHeight="1">
      <c r="A194" s="4" t="inlineStr">
        <is>
          <t>Tarkibiy qismlar</t>
        </is>
      </c>
      <c r="B194" s="4" t="inlineStr">
        <is>
          <t>On-line SNR Intelligent seriyali 1000 VA, 36VDC uzluksiz quvvat manbai</t>
        </is>
      </c>
      <c r="C194" s="5" t="inlineStr"/>
      <c r="D194" s="5" t="n">
        <v>4584537</v>
      </c>
      <c r="E194" s="5" t="n">
        <v>4093337</v>
      </c>
      <c r="F194" s="5" t="inlineStr"/>
      <c r="G194" s="5" t="inlineStr">
        <is>
          <t>SNR</t>
        </is>
      </c>
      <c r="H194" s="5">
        <f>HYPERLINK("https://itrix.uz/product/893", "🔗 Mahsulot sotib olish")</f>
        <v/>
      </c>
      <c r="I194" t="inlineStr">
        <is>
          <t>2-893-783</t>
        </is>
      </c>
    </row>
    <row r="195" ht="30" customHeight="1">
      <c r="A195" s="4" t="inlineStr">
        <is>
          <t>Aksessuarlar</t>
        </is>
      </c>
      <c r="B195" s="4" t="inlineStr">
        <is>
          <t>Dell uchun 3.5" qattiq disk uchun tray (salazka)</t>
        </is>
      </c>
      <c r="C195" s="5" t="inlineStr"/>
      <c r="D195" s="5" t="n">
        <v>130861</v>
      </c>
      <c r="E195" s="5" t="n">
        <v>116840</v>
      </c>
      <c r="F195" s="5" t="inlineStr"/>
      <c r="G195" s="5" t="inlineStr"/>
      <c r="H195" s="5">
        <f>HYPERLINK("https://itrix.uz/product/649", "🔗 Mahsulot sotib olish")</f>
        <v/>
      </c>
      <c r="I195" t="inlineStr">
        <is>
          <t>2-649-586</t>
        </is>
      </c>
    </row>
    <row r="196" ht="30" customHeight="1">
      <c r="A196" s="4" t="inlineStr">
        <is>
          <t>Tarkibiy qismlar</t>
        </is>
      </c>
      <c r="B196" s="4" t="inlineStr">
        <is>
          <t>SNR Intelligent 15 kVA (PF1.0) On-line uzluksiz quvvat manbai</t>
        </is>
      </c>
      <c r="C196" s="5" t="inlineStr"/>
      <c r="D196" s="5" t="n">
        <v>36437052</v>
      </c>
      <c r="E196" s="5" t="n">
        <v>32533082</v>
      </c>
      <c r="F196" s="5" t="inlineStr"/>
      <c r="G196" s="5" t="inlineStr">
        <is>
          <t>SNR</t>
        </is>
      </c>
      <c r="H196" s="5">
        <f>HYPERLINK("https://itrix.uz/product/887", "🔗 Mahsulot sotib olish")</f>
        <v/>
      </c>
      <c r="I196" t="inlineStr">
        <is>
          <t>2-887-777</t>
        </is>
      </c>
    </row>
    <row r="197" ht="30" customHeight="1">
      <c r="A197" s="4" t="inlineStr">
        <is>
          <t>Dasturiy ta'minot litsenziyalari</t>
        </is>
      </c>
      <c r="B197" s="4" t="inlineStr">
        <is>
          <t>HPE iLO 6 Enterprise litsenziyasi - 1 yil</t>
        </is>
      </c>
      <c r="C197" s="5" t="inlineStr"/>
      <c r="D197" s="5" t="n">
        <v>6400800</v>
      </c>
      <c r="E197" s="5" t="n">
        <v>5715000</v>
      </c>
      <c r="F197" s="5" t="inlineStr"/>
      <c r="G197" s="5" t="inlineStr">
        <is>
          <t>HPE</t>
        </is>
      </c>
      <c r="H197" s="5">
        <f>HYPERLINK("https://itrix.uz/product/542", "🔗 Mahsulot sotib olish")</f>
        <v/>
      </c>
      <c r="I197" t="inlineStr">
        <is>
          <t>2-542-507</t>
        </is>
      </c>
    </row>
    <row r="198" ht="30" customHeight="1">
      <c r="A198" s="4" t="inlineStr">
        <is>
          <t>Tarkibiy qismlar</t>
        </is>
      </c>
      <c r="B198" s="4" t="inlineStr">
        <is>
          <t>SNR SМ серия UPS uchun 15 kVA / 15 kVt quvvat moduli (SNR-UPS-ONPM-15CMX33)</t>
        </is>
      </c>
      <c r="C198" s="5" t="inlineStr"/>
      <c r="D198" s="5" t="n">
        <v>36309463</v>
      </c>
      <c r="E198" s="5" t="n">
        <v>32419163</v>
      </c>
      <c r="F198" s="5" t="inlineStr"/>
      <c r="G198" s="5" t="inlineStr">
        <is>
          <t>SNR</t>
        </is>
      </c>
      <c r="H198" s="5">
        <f>HYPERLINK("https://itrix.uz/product/888", "🔗 Mahsulot sotib olish")</f>
        <v/>
      </c>
      <c r="I198" t="inlineStr">
        <is>
          <t>2-888-778</t>
        </is>
      </c>
    </row>
    <row r="199" ht="30" customHeight="1">
      <c r="A199" s="4" t="inlineStr">
        <is>
          <t>Tarkibiy qismlar</t>
        </is>
      </c>
      <c r="B199" s="4" t="inlineStr">
        <is>
          <t>On-line uzluksiz quvvat manbai, 10 000 VA Intelligent seriyasi (SNR-UPS-ONRT-10000-INT)</t>
        </is>
      </c>
      <c r="C199" s="5" t="inlineStr"/>
      <c r="D199" s="5" t="n">
        <v>22416597</v>
      </c>
      <c r="E199" s="5" t="n">
        <v>20014819</v>
      </c>
      <c r="F199" s="5" t="inlineStr"/>
      <c r="G199" s="5" t="inlineStr">
        <is>
          <t>SNR</t>
        </is>
      </c>
      <c r="H199" s="5">
        <f>HYPERLINK("https://itrix.uz/product/896", "🔗 Mahsulot sotib olish")</f>
        <v/>
      </c>
      <c r="I199" t="inlineStr">
        <is>
          <t>2-896-786</t>
        </is>
      </c>
    </row>
    <row r="200" ht="30" customHeight="1">
      <c r="A200" s="4" t="inlineStr">
        <is>
          <t>Aksessuarlar</t>
        </is>
      </c>
      <c r="B200" s="4" t="inlineStr">
        <is>
          <t xml:space="preserve"> FS 3m (10ft) 25G SFP28 passiv mis Twinax ulovchi kabel (FS switchlar uchun)</t>
        </is>
      </c>
      <c r="C200" s="5" t="inlineStr"/>
      <c r="D200" s="5" t="n">
        <v>625856</v>
      </c>
      <c r="E200" s="5" t="n">
        <v>558800</v>
      </c>
      <c r="F200" s="5" t="inlineStr"/>
      <c r="G200" s="5" t="inlineStr"/>
      <c r="H200" s="5">
        <f>HYPERLINK("https://itrix.uz/product/561", "🔗 Mahsulot sotib olish")</f>
        <v/>
      </c>
      <c r="I200" t="inlineStr">
        <is>
          <t>2-561-524</t>
        </is>
      </c>
    </row>
    <row r="201" ht="30" customHeight="1">
      <c r="A201" s="4" t="inlineStr">
        <is>
          <t>Aksessuarlar</t>
        </is>
      </c>
      <c r="B201" s="4" t="inlineStr">
        <is>
          <t>Brocade 64G FC SFP+ SWL (qisqa masofali) optik moduli, G720 bilan mos</t>
        </is>
      </c>
      <c r="C201" s="5" t="inlineStr"/>
      <c r="D201" s="5" t="n">
        <v>5319776</v>
      </c>
      <c r="E201" s="5" t="n">
        <v>4749800</v>
      </c>
      <c r="F201" s="5" t="inlineStr"/>
      <c r="G201" s="5" t="inlineStr"/>
      <c r="H201" s="5">
        <f>HYPERLINK("https://itrix.uz/product/554", "🔗 Mahsulot sotib olish")</f>
        <v/>
      </c>
      <c r="I201" t="inlineStr">
        <is>
          <t>2-554-517</t>
        </is>
      </c>
    </row>
    <row r="202" ht="30" customHeight="1">
      <c r="A202" s="4" t="inlineStr">
        <is>
          <t>Aksessuarlar</t>
        </is>
      </c>
      <c r="B202" s="4" t="inlineStr">
        <is>
          <t>Dell Networking 100GbE QSFP28 SR4 optik moduli, MPO, MMF (4x25GbE SFP28 SR rejimi)</t>
        </is>
      </c>
      <c r="C202" s="5" t="inlineStr"/>
      <c r="D202" s="5" t="n">
        <v>2332736</v>
      </c>
      <c r="E202" s="5" t="n">
        <v>2082800</v>
      </c>
      <c r="F202" s="5" t="inlineStr"/>
      <c r="G202" s="5" t="inlineStr"/>
      <c r="H202" s="5">
        <f>HYPERLINK("https://itrix.uz/product/558", "🔗 Mahsulot sotib olish")</f>
        <v/>
      </c>
      <c r="I202" t="inlineStr">
        <is>
          <t>2-558-521</t>
        </is>
      </c>
    </row>
    <row r="203" ht="30" customHeight="1">
      <c r="A203" s="4" t="inlineStr">
        <is>
          <t>Tarkibiy qismlar</t>
        </is>
      </c>
      <c r="B203" s="4" t="inlineStr">
        <is>
          <t>Shassi modulli uzluksiz quvvat manbai 30 kVA/30 kW, 2 modul uchun (SNR-UPS-ONRT-030-15CMX33)</t>
        </is>
      </c>
      <c r="C203" s="5" t="inlineStr"/>
      <c r="D203" s="5" t="n">
        <v>53126498</v>
      </c>
      <c r="E203" s="5" t="n">
        <v>47434373</v>
      </c>
      <c r="F203" s="5" t="inlineStr"/>
      <c r="G203" s="5" t="inlineStr">
        <is>
          <t>SNR</t>
        </is>
      </c>
      <c r="H203" s="5">
        <f>HYPERLINK("https://itrix.uz/product/889", "🔗 Mahsulot sotib olish")</f>
        <v/>
      </c>
      <c r="I203" t="inlineStr">
        <is>
          <t>2-889-779</t>
        </is>
      </c>
    </row>
    <row r="204" ht="30" customHeight="1">
      <c r="A204" s="4" t="inlineStr">
        <is>
          <t>Tarkibiy qismlar</t>
        </is>
      </c>
      <c r="B204" s="4" t="inlineStr">
        <is>
          <t>Uzluksiz quvvat manbainlai UPS SNR Intelligent 3000 VA, 96VDC</t>
        </is>
      </c>
      <c r="C204" s="5" t="inlineStr"/>
      <c r="D204" s="5" t="n">
        <v>11575633</v>
      </c>
      <c r="E204" s="5" t="n">
        <v>10335387</v>
      </c>
      <c r="F204" s="5" t="inlineStr"/>
      <c r="G204" s="5" t="inlineStr">
        <is>
          <t>SNR</t>
        </is>
      </c>
      <c r="H204" s="5">
        <f>HYPERLINK("https://itrix.uz/product/890", "🔗 Mahsulot sotib olish")</f>
        <v/>
      </c>
      <c r="I204" t="inlineStr">
        <is>
          <t>2-890-780</t>
        </is>
      </c>
    </row>
    <row r="205" ht="30" customHeight="1">
      <c r="A205" s="4" t="inlineStr">
        <is>
          <t>Tarkibiy qismlar</t>
        </is>
      </c>
      <c r="B205" s="4" t="inlineStr">
        <is>
          <t>On-line uzluksiz quvvat manbai SNR Intelligent seriyasi 2000 VA, 72VDC</t>
        </is>
      </c>
      <c r="C205" s="5" t="inlineStr"/>
      <c r="D205" s="5" t="n">
        <v>7088388</v>
      </c>
      <c r="E205" s="5" t="n">
        <v>6328918</v>
      </c>
      <c r="F205" s="5" t="inlineStr"/>
      <c r="G205" s="5" t="inlineStr">
        <is>
          <t>SNR</t>
        </is>
      </c>
      <c r="H205" s="5">
        <f>HYPERLINK("https://itrix.uz/product/891", "🔗 Mahsulot sotib olish")</f>
        <v/>
      </c>
      <c r="I205" t="inlineStr">
        <is>
          <t>2-891-781</t>
        </is>
      </c>
    </row>
    <row r="206" ht="30" customHeight="1">
      <c r="A206" s="4" t="inlineStr">
        <is>
          <t>Tarkibiy qismlar</t>
        </is>
      </c>
      <c r="B206" s="4" t="inlineStr">
        <is>
          <t>On-line uzluksiz quvvat manbai, 25 kVA (PF1.0) Intelligent seriyasi (SNR-UPS-ONRT-25-INTXL33)</t>
        </is>
      </c>
      <c r="C206" s="5" t="inlineStr"/>
      <c r="D206" s="5" t="n">
        <v>62818589</v>
      </c>
      <c r="E206" s="5" t="n">
        <v>56088026</v>
      </c>
      <c r="F206" s="5" t="inlineStr"/>
      <c r="G206" s="5" t="inlineStr">
        <is>
          <t>SNR</t>
        </is>
      </c>
      <c r="H206" s="5">
        <f>HYPERLINK("https://itrix.uz/product/892", "🔗 Mahsulot sotib olish")</f>
        <v/>
      </c>
      <c r="I206" t="inlineStr">
        <is>
          <t>2-892-782</t>
        </is>
      </c>
    </row>
    <row r="207" ht="30" customHeight="1">
      <c r="A207" s="4" t="inlineStr">
        <is>
          <t>Tarkibiy qismlar</t>
        </is>
      </c>
      <c r="B207" s="4" t="inlineStr">
        <is>
          <t>SNR ELEMENT II(E) 3000VA/2700W onlayn UPS zaxira quvvat manbai</t>
        </is>
      </c>
      <c r="C207" s="5" t="inlineStr"/>
      <c r="D207" s="5" t="n">
        <v>8369686</v>
      </c>
      <c r="E207" s="5" t="n">
        <v>7472934</v>
      </c>
      <c r="F207" s="5" t="inlineStr"/>
      <c r="G207" s="5" t="inlineStr">
        <is>
          <t>SNR</t>
        </is>
      </c>
      <c r="H207" s="5">
        <f>HYPERLINK("https://itrix.uz/product/885", "🔗 Mahsulot sotib olish")</f>
        <v/>
      </c>
      <c r="I207" t="inlineStr">
        <is>
          <t>2-885-775</t>
        </is>
      </c>
    </row>
    <row r="208" ht="30" customHeight="1">
      <c r="A208" s="4" t="inlineStr">
        <is>
          <t>Quvvat ta'minoti</t>
        </is>
      </c>
      <c r="B208" s="4" t="inlineStr">
        <is>
          <t>Grandstream EU 5V 0.6A 3W (VI) quvvat manbai</t>
        </is>
      </c>
      <c r="C208" s="5" t="inlineStr"/>
      <c r="D208" s="5" t="n">
        <v>68275</v>
      </c>
      <c r="E208" s="5" t="n">
        <v>60960</v>
      </c>
      <c r="F208" s="5" t="inlineStr"/>
      <c r="G208" s="5" t="inlineStr">
        <is>
          <t>Grandstream</t>
        </is>
      </c>
      <c r="H208" s="5">
        <f>HYPERLINK("https://itrix.uz/product/911", "🔗 Mahsulot sotib olish")</f>
        <v/>
      </c>
      <c r="I208" t="inlineStr">
        <is>
          <t>2-911-801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tabColor rgb="00D1A2EC"/>
    <outlinePr summaryBelow="1" summaryRight="1"/>
    <pageSetUpPr/>
  </sheetPr>
  <dimension ref="A1:I168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 ht="30" customHeight="1">
      <c r="A2" s="4" t="inlineStr">
        <is>
          <t>Switchlar</t>
        </is>
      </c>
      <c r="B2" s="4" t="inlineStr">
        <is>
          <t xml:space="preserve"> 2+ darajali boshqariladigan kommutator SNR-S5110G-48TX</t>
        </is>
      </c>
      <c r="C2" s="5" t="inlineStr"/>
      <c r="D2" s="5" t="n">
        <v>6016752</v>
      </c>
      <c r="E2" s="5" t="n">
        <v>5372100</v>
      </c>
      <c r="F2" s="5" t="inlineStr"/>
      <c r="G2" s="5" t="inlineStr">
        <is>
          <t>SNR</t>
        </is>
      </c>
      <c r="H2" s="5">
        <f>HYPERLINK("https://itrix.uz/product/447", "🔗 Mahsulot sotib olish")</f>
        <v/>
      </c>
      <c r="I2" t="inlineStr">
        <is>
          <t>4-447-431</t>
        </is>
      </c>
    </row>
    <row r="3" ht="30" customHeight="1">
      <c r="A3" s="4" t="inlineStr">
        <is>
          <t>Switchlar</t>
        </is>
      </c>
      <c r="B3" s="4" t="inlineStr">
        <is>
          <t>HPE Aruba IOn 1930 JL684B 24G 4SFP+ PoE 370W kommutatori</t>
        </is>
      </c>
      <c r="C3" s="5" t="inlineStr"/>
      <c r="D3" s="5" t="n">
        <v>10881360</v>
      </c>
      <c r="E3" s="5" t="n">
        <v>9715500</v>
      </c>
      <c r="F3" s="5" t="inlineStr"/>
      <c r="G3" s="5" t="inlineStr">
        <is>
          <t>HPE</t>
        </is>
      </c>
      <c r="H3" s="5">
        <f>HYPERLINK("https://itrix.uz/product/172", "🔗 Mahsulot sotib olish")</f>
        <v/>
      </c>
      <c r="I3" t="inlineStr">
        <is>
          <t>4-172-174</t>
        </is>
      </c>
    </row>
    <row r="4" ht="30" customHeight="1">
      <c r="A4" s="4" t="inlineStr">
        <is>
          <t>Kopar patch kordlar</t>
        </is>
      </c>
      <c r="B4" s="4" t="inlineStr">
        <is>
          <t>Patch-kabel Cat 5e, FTP, RJ45, 26AWG, 7/0.16 Cu, 2.00 m, LSZH, Kulrang</t>
        </is>
      </c>
      <c r="C4" s="5" t="inlineStr"/>
      <c r="D4" s="5" t="n">
        <v>142240</v>
      </c>
      <c r="E4" s="5" t="n">
        <v>127000</v>
      </c>
      <c r="F4" s="5" t="inlineStr"/>
      <c r="G4" s="5" t="inlineStr">
        <is>
          <t>Intel</t>
        </is>
      </c>
      <c r="H4" s="5">
        <f>HYPERLINK("https://itrix.uz/product/257", "🔗 Mahsulot sotib olish")</f>
        <v/>
      </c>
      <c r="I4" t="inlineStr">
        <is>
          <t>4-257-259</t>
        </is>
      </c>
    </row>
    <row r="5" ht="30" customHeight="1">
      <c r="A5" s="4" t="inlineStr">
        <is>
          <t>Switchlar</t>
        </is>
      </c>
      <c r="B5" s="4" t="inlineStr">
        <is>
          <t>HPE Aruba IOn 1960 JL808A 48G 2XGT 2SFP+ kommutatori</t>
        </is>
      </c>
      <c r="C5" s="5" t="inlineStr"/>
      <c r="D5" s="5" t="n">
        <v>18519648</v>
      </c>
      <c r="E5" s="5" t="n">
        <v>16535400</v>
      </c>
      <c r="F5" s="5" t="inlineStr"/>
      <c r="G5" s="5" t="inlineStr">
        <is>
          <t>HPE</t>
        </is>
      </c>
      <c r="H5" s="5">
        <f>HYPERLINK("https://itrix.uz/product/168", "🔗 Mahsulot sotib olish")</f>
        <v/>
      </c>
      <c r="I5" t="inlineStr">
        <is>
          <t>4-168-170</t>
        </is>
      </c>
    </row>
    <row r="6" ht="30" customHeight="1">
      <c r="A6" s="4" t="inlineStr">
        <is>
          <t>Kopar patch kordlar</t>
        </is>
      </c>
      <c r="B6" s="4" t="inlineStr">
        <is>
          <t>Patch-kabel Cat 5e, FTP, RJ45, 26AWG, 7/0.16 Cu, 3.00 m, LSZH, kulrang</t>
        </is>
      </c>
      <c r="C6" s="5" t="inlineStr"/>
      <c r="D6" s="5" t="n">
        <v>142240</v>
      </c>
      <c r="E6" s="5" t="n">
        <v>127000</v>
      </c>
      <c r="F6" s="5" t="inlineStr"/>
      <c r="G6" s="5" t="inlineStr">
        <is>
          <t>Intel</t>
        </is>
      </c>
      <c r="H6" s="5">
        <f>HYPERLINK("https://itrix.uz/product/258", "🔗 Mahsulot sotib olish")</f>
        <v/>
      </c>
      <c r="I6" t="inlineStr">
        <is>
          <t>4-258-375</t>
        </is>
      </c>
    </row>
    <row r="7" ht="30" customHeight="1">
      <c r="A7" s="4" t="inlineStr">
        <is>
          <t>Kopar patch kordlar</t>
        </is>
      </c>
      <c r="B7" s="4" t="inlineStr">
        <is>
          <t xml:space="preserve"> Patch-kabel Cat 6, FTP, RJ45, 26AWG, 7/0.16 Cu, 5.00 m, LSZH, kulrang</t>
        </is>
      </c>
      <c r="C7" s="5" t="inlineStr"/>
      <c r="D7" s="5" t="n">
        <v>142240</v>
      </c>
      <c r="E7" s="5" t="n">
        <v>127000</v>
      </c>
      <c r="F7" s="5" t="inlineStr"/>
      <c r="G7" s="5" t="inlineStr">
        <is>
          <t>Intel</t>
        </is>
      </c>
      <c r="H7" s="5">
        <f>HYPERLINK("https://itrix.uz/product/263", "🔗 Mahsulot sotib olish")</f>
        <v/>
      </c>
      <c r="I7" t="inlineStr">
        <is>
          <t>4-263-264</t>
        </is>
      </c>
    </row>
    <row r="8" ht="30" customHeight="1">
      <c r="A8" s="4" t="inlineStr">
        <is>
          <t>Tarmoqqa biriktirilgan xotira (NAS) va ma'lumotlarni saqlash tizimlari (DSS)</t>
        </is>
      </c>
      <c r="B8" s="4" t="inlineStr">
        <is>
          <t xml:space="preserve"> Tarmoqli saqlash qurilmasi (NAS) Synology DS1522+</t>
        </is>
      </c>
      <c r="C8" s="5" t="inlineStr"/>
      <c r="D8" s="5" t="n">
        <v>14252448</v>
      </c>
      <c r="E8" s="5" t="n">
        <v>12725400</v>
      </c>
      <c r="F8" s="5" t="inlineStr"/>
      <c r="G8" s="5" t="inlineStr">
        <is>
          <t>Synology</t>
        </is>
      </c>
      <c r="H8" s="5">
        <f>HYPERLINK("https://itrix.uz/product/267", "🔗 Mahsulot sotib olish")</f>
        <v/>
      </c>
      <c r="I8" t="inlineStr">
        <is>
          <t>4-267-269</t>
        </is>
      </c>
    </row>
    <row r="9" ht="30" customHeight="1">
      <c r="A9" s="4" t="inlineStr">
        <is>
          <t>Switchlar</t>
        </is>
      </c>
      <c r="B9" s="4" t="inlineStr">
        <is>
          <t>Boshqariladigan kommutator Fortinet FortiSwitch FS-108F-FPOE 8G 2SFP PoE</t>
        </is>
      </c>
      <c r="C9" s="5" t="inlineStr"/>
      <c r="D9" s="5" t="n">
        <v>7510272</v>
      </c>
      <c r="E9" s="5" t="n">
        <v>6705600</v>
      </c>
      <c r="F9" s="5" t="inlineStr"/>
      <c r="G9" s="5" t="inlineStr">
        <is>
          <t>Fortinet</t>
        </is>
      </c>
      <c r="H9" s="5">
        <f>HYPERLINK("https://itrix.uz/product/175", "🔗 Mahsulot sotib olish")</f>
        <v/>
      </c>
      <c r="I9" t="inlineStr">
        <is>
          <t>4-175-177</t>
        </is>
      </c>
    </row>
    <row r="10" ht="30" customHeight="1">
      <c r="A10" s="4" t="inlineStr">
        <is>
          <t>Tarmoqqa biriktirilgan xotira (NAS) va ma'lumotlarni saqlash tizimlari (DSS)</t>
        </is>
      </c>
      <c r="B10" s="4" t="inlineStr">
        <is>
          <t>Tarmoqli saqlash qurilmasi (NAS) Synology DS1819+</t>
        </is>
      </c>
      <c r="C10" s="5" t="inlineStr"/>
      <c r="D10" s="5" t="n">
        <v>19885152</v>
      </c>
      <c r="E10" s="5" t="n">
        <v>17754600</v>
      </c>
      <c r="F10" s="5" t="inlineStr"/>
      <c r="G10" s="5" t="inlineStr">
        <is>
          <t>Synology</t>
        </is>
      </c>
      <c r="H10" s="5">
        <f>HYPERLINK("https://itrix.uz/product/272", "🔗 Mahsulot sotib olish")</f>
        <v/>
      </c>
      <c r="I10" t="inlineStr">
        <is>
          <t>4-272-274</t>
        </is>
      </c>
    </row>
    <row r="11" ht="30" customHeight="1">
      <c r="A11" s="4" t="inlineStr">
        <is>
          <t>Switchlar</t>
        </is>
      </c>
      <c r="B11" s="4" t="inlineStr">
        <is>
          <t>Boshqariladigan kommutator Ubiquiti UniFi Switch 48 USW-48-EU</t>
        </is>
      </c>
      <c r="C11" s="5" t="inlineStr"/>
      <c r="D11" s="5" t="n">
        <v>7766304</v>
      </c>
      <c r="E11" s="5" t="n">
        <v>6934200</v>
      </c>
      <c r="F11" s="5" t="inlineStr"/>
      <c r="G11" s="5" t="inlineStr">
        <is>
          <t>UniFi UBIQUITI</t>
        </is>
      </c>
      <c r="H11" s="5">
        <f>HYPERLINK("https://itrix.uz/product/189", "🔗 Mahsulot sotib olish")</f>
        <v/>
      </c>
      <c r="I11" t="inlineStr">
        <is>
          <t>4-189-191</t>
        </is>
      </c>
    </row>
    <row r="12" ht="30" customHeight="1">
      <c r="A12" s="4" t="inlineStr">
        <is>
          <t>Switchlar</t>
        </is>
      </c>
      <c r="B12" s="4" t="inlineStr">
        <is>
          <t xml:space="preserve"> 3-darajali boshqariladigan kommutator SNR-S2995G-24TX-UPS</t>
        </is>
      </c>
      <c r="C12" s="5" t="inlineStr"/>
      <c r="D12" s="5" t="n">
        <v>11933936</v>
      </c>
      <c r="E12" s="5" t="n">
        <v>10655300</v>
      </c>
      <c r="F12" s="5" t="inlineStr"/>
      <c r="G12" s="5" t="inlineStr">
        <is>
          <t>SNR</t>
        </is>
      </c>
      <c r="H12" s="5">
        <f>HYPERLINK("https://itrix.uz/product/452", "🔗 Mahsulot sotib olish")</f>
        <v/>
      </c>
      <c r="I12" t="inlineStr">
        <is>
          <t>4-452-436</t>
        </is>
      </c>
    </row>
    <row r="13" ht="30" customHeight="1">
      <c r="A13" s="4" t="inlineStr">
        <is>
          <t>Switchlar</t>
        </is>
      </c>
      <c r="B13" s="4" t="inlineStr">
        <is>
          <t xml:space="preserve"> 2-darajali boshqariladigan kommutator SNR-S2982G-8T</t>
        </is>
      </c>
      <c r="C13" s="5" t="inlineStr"/>
      <c r="D13" s="5" t="n">
        <v>2212970</v>
      </c>
      <c r="E13" s="5" t="n">
        <v>1975866</v>
      </c>
      <c r="F13" s="5" t="inlineStr"/>
      <c r="G13" s="5" t="inlineStr">
        <is>
          <t>SNR</t>
        </is>
      </c>
      <c r="H13" s="5">
        <f>HYPERLINK("https://itrix.uz/product/424", "🔗 Mahsulot sotib olish")</f>
        <v/>
      </c>
      <c r="I13" t="inlineStr">
        <is>
          <t>4-424-408</t>
        </is>
      </c>
    </row>
    <row r="14" ht="30" customHeight="1">
      <c r="A14" s="4" t="inlineStr">
        <is>
          <t>Tarmoqqa biriktirilgan xotira (NAS) va ma'lumotlarni saqlash tizimlari (DSS)</t>
        </is>
      </c>
      <c r="B14" s="4" t="inlineStr">
        <is>
          <t xml:space="preserve"> Tarmoqli saqlash qurilmasi (NAS) Synology RS820RP+</t>
        </is>
      </c>
      <c r="C14" s="5" t="inlineStr"/>
      <c r="D14" s="5" t="n">
        <v>19927824</v>
      </c>
      <c r="E14" s="5" t="n">
        <v>17792700</v>
      </c>
      <c r="F14" s="5" t="inlineStr"/>
      <c r="G14" s="5" t="inlineStr">
        <is>
          <t>Synology</t>
        </is>
      </c>
      <c r="H14" s="5">
        <f>HYPERLINK("https://itrix.uz/product/280", "🔗 Mahsulot sotib olish")</f>
        <v/>
      </c>
      <c r="I14" t="inlineStr">
        <is>
          <t>4-280-282</t>
        </is>
      </c>
    </row>
    <row r="15" ht="30" customHeight="1">
      <c r="A15" s="4" t="inlineStr">
        <is>
          <t>Switchlar</t>
        </is>
      </c>
      <c r="B15" s="4" t="inlineStr">
        <is>
          <t xml:space="preserve"> 2-darajali boshqariladigan kommutator SNR-S2982G-24TE</t>
        </is>
      </c>
      <c r="C15" s="5" t="inlineStr"/>
      <c r="D15" s="5" t="n">
        <v>3456432</v>
      </c>
      <c r="E15" s="5" t="n">
        <v>3086100</v>
      </c>
      <c r="F15" s="5" t="n">
        <v>2841625</v>
      </c>
      <c r="G15" s="5" t="inlineStr">
        <is>
          <t>SNR</t>
        </is>
      </c>
      <c r="H15" s="5">
        <f>HYPERLINK("https://itrix.uz/product/425", "🔗 Mahsulot sotib olish")</f>
        <v/>
      </c>
      <c r="I15" t="inlineStr">
        <is>
          <t>4-425-409</t>
        </is>
      </c>
    </row>
    <row r="16" ht="30" customHeight="1">
      <c r="A16" s="4" t="inlineStr">
        <is>
          <t>Switchlar</t>
        </is>
      </c>
      <c r="B16" s="4" t="inlineStr">
        <is>
          <t xml:space="preserve"> 2-darajali boshqariladigan kommutator SNR-S2982G-24TE-UPS</t>
        </is>
      </c>
      <c r="C16" s="5" t="inlineStr"/>
      <c r="D16" s="5" t="n">
        <v>3940048</v>
      </c>
      <c r="E16" s="5" t="n">
        <v>3517900</v>
      </c>
      <c r="F16" s="5" t="inlineStr"/>
      <c r="G16" s="5" t="inlineStr">
        <is>
          <t>SNR</t>
        </is>
      </c>
      <c r="H16" s="5">
        <f>HYPERLINK("https://itrix.uz/product/428", "🔗 Mahsulot sotib olish")</f>
        <v/>
      </c>
      <c r="I16" t="inlineStr">
        <is>
          <t>4-428-412</t>
        </is>
      </c>
    </row>
    <row r="17" ht="30" customHeight="1">
      <c r="A17" s="4" t="inlineStr">
        <is>
          <t>Telekommunikatsiya shkaflari</t>
        </is>
      </c>
      <c r="B17" s="4" t="inlineStr">
        <is>
          <t xml:space="preserve"> 32 unitli shkaf 600x800x1610mm – 500kg</t>
        </is>
      </c>
      <c r="C17" s="5" t="inlineStr"/>
      <c r="D17" s="5" t="n">
        <v>6471920</v>
      </c>
      <c r="E17" s="5" t="n">
        <v>5778500</v>
      </c>
      <c r="F17" s="5" t="inlineStr"/>
      <c r="G17" s="5" t="inlineStr"/>
      <c r="H17" s="5">
        <f>HYPERLINK("https://itrix.uz/product/504", "🔗 Mahsulot sotib olish")</f>
        <v/>
      </c>
      <c r="I17" t="inlineStr">
        <is>
          <t>4-504-486</t>
        </is>
      </c>
    </row>
    <row r="18" ht="30" customHeight="1">
      <c r="A18" s="4" t="inlineStr">
        <is>
          <t>Tarmoqqa biriktirilgan xotira (NAS) va ma'lumotlarni saqlash tizimlari (DSS)</t>
        </is>
      </c>
      <c r="B18" s="4" t="inlineStr">
        <is>
          <t xml:space="preserve"> Tarmoqli saqlash qurilmasi (NAS) Synology DS220J</t>
        </is>
      </c>
      <c r="C18" s="5" t="inlineStr"/>
      <c r="D18" s="5" t="n">
        <v>3556000</v>
      </c>
      <c r="E18" s="5" t="n">
        <v>3175000</v>
      </c>
      <c r="F18" s="5" t="inlineStr"/>
      <c r="G18" s="5" t="inlineStr">
        <is>
          <t>Synology</t>
        </is>
      </c>
      <c r="H18" s="5">
        <f>HYPERLINK("https://itrix.uz/product/274", "🔗 Mahsulot sotib olish")</f>
        <v/>
      </c>
      <c r="I18" t="inlineStr">
        <is>
          <t>4-274-276</t>
        </is>
      </c>
    </row>
    <row r="19" ht="30" customHeight="1">
      <c r="A19" s="4" t="inlineStr">
        <is>
          <t>Tarmoqqa biriktirilgan xotira (NAS) va ma'lumotlarni saqlash tizimlari (DSS)</t>
        </is>
      </c>
      <c r="B19" s="4" t="inlineStr">
        <is>
          <t xml:space="preserve"> Tarmoqli saqlash qurilmasi (NAS) Synology DS420+</t>
        </is>
      </c>
      <c r="C19" s="5" t="inlineStr"/>
      <c r="D19" s="5" t="n">
        <v>11180064</v>
      </c>
      <c r="E19" s="5" t="n">
        <v>9982200</v>
      </c>
      <c r="F19" s="5" t="inlineStr"/>
      <c r="G19" s="5" t="inlineStr">
        <is>
          <t>Synology</t>
        </is>
      </c>
      <c r="H19" s="5">
        <f>HYPERLINK("https://itrix.uz/product/275", "🔗 Mahsulot sotib olish")</f>
        <v/>
      </c>
      <c r="I19" t="inlineStr">
        <is>
          <t>4-275-277</t>
        </is>
      </c>
    </row>
    <row r="20" ht="30" customHeight="1">
      <c r="A20" s="4" t="inlineStr">
        <is>
          <t>Switchlar</t>
        </is>
      </c>
      <c r="B20" s="4" t="inlineStr">
        <is>
          <t xml:space="preserve"> 2-darajali boshqariladigan kommutator SNR-S2989G-24TX-2AC</t>
        </is>
      </c>
      <c r="C20" s="5" t="inlineStr"/>
      <c r="D20" s="5" t="n">
        <v>4949952</v>
      </c>
      <c r="E20" s="5" t="n">
        <v>4419600</v>
      </c>
      <c r="F20" s="5" t="inlineStr"/>
      <c r="G20" s="5" t="inlineStr">
        <is>
          <t>SNR</t>
        </is>
      </c>
      <c r="H20" s="5">
        <f>HYPERLINK("https://itrix.uz/product/434", "🔗 Mahsulot sotib olish")</f>
        <v/>
      </c>
      <c r="I20" t="inlineStr">
        <is>
          <t>4-434-418</t>
        </is>
      </c>
    </row>
    <row r="21" ht="30" customHeight="1">
      <c r="A21" s="4" t="inlineStr">
        <is>
          <t>Switchlar</t>
        </is>
      </c>
      <c r="B21" s="4" t="inlineStr">
        <is>
          <t xml:space="preserve"> 2+ darajali boshqariladigan kommutator SNR-S5110G-24TX</t>
        </is>
      </c>
      <c r="C21" s="5" t="inlineStr"/>
      <c r="D21" s="5" t="n">
        <v>3570224</v>
      </c>
      <c r="E21" s="5" t="n">
        <v>3187700</v>
      </c>
      <c r="F21" s="5" t="inlineStr"/>
      <c r="G21" s="5" t="inlineStr">
        <is>
          <t>SNR</t>
        </is>
      </c>
      <c r="H21" s="5">
        <f>HYPERLINK("https://itrix.uz/product/438", "🔗 Mahsulot sotib olish")</f>
        <v/>
      </c>
      <c r="I21" t="inlineStr">
        <is>
          <t>4-438-422</t>
        </is>
      </c>
    </row>
    <row r="22" ht="30" customHeight="1">
      <c r="A22" s="4" t="inlineStr">
        <is>
          <t>Tarmoqqa biriktirilgan xotira (NAS) va ma'lumotlarni saqlash tizimlari (DSS)</t>
        </is>
      </c>
      <c r="B22" s="4" t="inlineStr">
        <is>
          <t xml:space="preserve"> Tarmoqli saqlash qurilmasi (NAS) Synology DS423+</t>
        </is>
      </c>
      <c r="C22" s="5" t="inlineStr"/>
      <c r="D22" s="5" t="n">
        <v>9487408</v>
      </c>
      <c r="E22" s="5" t="n">
        <v>8470900</v>
      </c>
      <c r="F22" s="5" t="inlineStr"/>
      <c r="G22" s="5" t="inlineStr">
        <is>
          <t>Synology</t>
        </is>
      </c>
      <c r="H22" s="5">
        <f>HYPERLINK("https://itrix.uz/product/265", "🔗 Mahsulot sotib olish")</f>
        <v/>
      </c>
      <c r="I22" t="inlineStr">
        <is>
          <t>4-265-267</t>
        </is>
      </c>
    </row>
    <row r="23" ht="30" customHeight="1">
      <c r="A23" s="4" t="inlineStr">
        <is>
          <t>Switchlar</t>
        </is>
      </c>
      <c r="B23" s="4" t="inlineStr">
        <is>
          <t>Boshqariladigan kommutator Ubiquiti UniFi Switch 8 USW-Lite-8-POE</t>
        </is>
      </c>
      <c r="C23" s="5" t="inlineStr"/>
      <c r="D23" s="5" t="n">
        <v>2435149</v>
      </c>
      <c r="E23" s="5" t="n">
        <v>2174240</v>
      </c>
      <c r="F23" s="5" t="n">
        <v>2032000</v>
      </c>
      <c r="G23" s="5" t="inlineStr">
        <is>
          <t>UniFi UBIQUITI</t>
        </is>
      </c>
      <c r="H23" s="5">
        <f>HYPERLINK("https://itrix.uz/product/180", "🔗 Mahsulot sotib olish")</f>
        <v/>
      </c>
      <c r="I23" t="inlineStr">
        <is>
          <t>4-180-182</t>
        </is>
      </c>
    </row>
    <row r="24" ht="30" customHeight="1">
      <c r="A24" s="4" t="inlineStr">
        <is>
          <t>Switchlar</t>
        </is>
      </c>
      <c r="B24" s="4" t="inlineStr">
        <is>
          <t xml:space="preserve"> 3-darajali boshqariladigan kommutator SNR-S4650X-48FQ</t>
        </is>
      </c>
      <c r="C24" s="5" t="inlineStr"/>
      <c r="D24" s="5" t="n">
        <v>175439100</v>
      </c>
      <c r="E24" s="5" t="n">
        <v>156642054</v>
      </c>
      <c r="F24" s="5" t="inlineStr"/>
      <c r="G24" s="5" t="inlineStr">
        <is>
          <t>SNR</t>
        </is>
      </c>
      <c r="H24" s="5">
        <f>HYPERLINK("https://itrix.uz/product/441", "🔗 Mahsulot sotib olish")</f>
        <v/>
      </c>
      <c r="I24" t="inlineStr">
        <is>
          <t>4-441-425</t>
        </is>
      </c>
    </row>
    <row r="25" ht="30" customHeight="1">
      <c r="A25" s="4" t="inlineStr">
        <is>
          <t>Tarmoqqa biriktirilgan xotira (NAS) va ma'lumotlarni saqlash tizimlari (DSS)</t>
        </is>
      </c>
      <c r="B25" s="4" t="inlineStr">
        <is>
          <t>Tarmoqli saqlash qurilmasi (NAS) Synology DS220+</t>
        </is>
      </c>
      <c r="C25" s="5" t="inlineStr"/>
      <c r="D25" s="5" t="n">
        <v>5163312</v>
      </c>
      <c r="E25" s="5" t="n">
        <v>4610100</v>
      </c>
      <c r="F25" s="5" t="inlineStr"/>
      <c r="G25" s="5" t="inlineStr">
        <is>
          <t>Synology</t>
        </is>
      </c>
      <c r="H25" s="5">
        <f>HYPERLINK("https://itrix.uz/product/264", "🔗 Mahsulot sotib olish")</f>
        <v/>
      </c>
      <c r="I25" t="inlineStr">
        <is>
          <t>4-264-266</t>
        </is>
      </c>
    </row>
    <row r="26" ht="30" customHeight="1">
      <c r="A26" s="4" t="inlineStr">
        <is>
          <t>Switchlar</t>
        </is>
      </c>
      <c r="B26" s="4" t="inlineStr">
        <is>
          <t xml:space="preserve"> Ko‘p xizmatli Ubiquiti UniFi Dream Machine Pro UDM-Pro shlyuzi</t>
        </is>
      </c>
      <c r="C26" s="5" t="inlineStr"/>
      <c r="D26" s="5" t="n">
        <v>7851648</v>
      </c>
      <c r="E26" s="5" t="n">
        <v>7010400</v>
      </c>
      <c r="F26" s="5" t="inlineStr"/>
      <c r="G26" s="5" t="inlineStr">
        <is>
          <t>UniFi UBIQUITI</t>
        </is>
      </c>
      <c r="H26" s="5">
        <f>HYPERLINK("https://itrix.uz/product/310", "🔗 Mahsulot sotib olish")</f>
        <v/>
      </c>
      <c r="I26" t="inlineStr">
        <is>
          <t>4-310-312</t>
        </is>
      </c>
    </row>
    <row r="27" ht="30" customHeight="1">
      <c r="A27" s="4" t="inlineStr">
        <is>
          <t>Switchlar</t>
        </is>
      </c>
      <c r="B27" s="4" t="inlineStr">
        <is>
          <t>HPE Aruba IOn 1960 JL809A 48G 2XGT 2SFP+ PoE 600W kommutatori</t>
        </is>
      </c>
      <c r="C27" s="5" t="inlineStr"/>
      <c r="D27" s="5" t="n">
        <v>33981136</v>
      </c>
      <c r="E27" s="5" t="n">
        <v>30340300</v>
      </c>
      <c r="F27" s="5" t="inlineStr"/>
      <c r="G27" s="5" t="inlineStr">
        <is>
          <t>HPE</t>
        </is>
      </c>
      <c r="H27" s="5">
        <f>HYPERLINK("https://itrix.uz/product/167", "🔗 Mahsulot sotib olish")</f>
        <v/>
      </c>
      <c r="I27" t="inlineStr">
        <is>
          <t>4-167-169</t>
        </is>
      </c>
    </row>
    <row r="28" ht="30" customHeight="1">
      <c r="A28" s="4" t="inlineStr">
        <is>
          <t>Switchlar</t>
        </is>
      </c>
      <c r="B28" s="4" t="inlineStr">
        <is>
          <t>Boshqariladigan kommutator HPE Aruba 2930F JL255A 24G PoE+ 4SFP+</t>
        </is>
      </c>
      <c r="C28" s="5" t="inlineStr"/>
      <c r="D28" s="5" t="n">
        <v>25176480</v>
      </c>
      <c r="E28" s="5" t="n">
        <v>22479000</v>
      </c>
      <c r="F28" s="5" t="inlineStr"/>
      <c r="G28" s="5" t="inlineStr">
        <is>
          <t>HPE</t>
        </is>
      </c>
      <c r="H28" s="5">
        <f>HYPERLINK("https://itrix.uz/product/169", "🔗 Mahsulot sotib olish")</f>
        <v/>
      </c>
      <c r="I28" t="inlineStr">
        <is>
          <t>4-169-171</t>
        </is>
      </c>
    </row>
    <row r="29" ht="30" customHeight="1">
      <c r="A29" s="4" t="inlineStr">
        <is>
          <t>Switchlar</t>
        </is>
      </c>
      <c r="B29" s="4" t="inlineStr">
        <is>
          <t>HPE Aruba IOn 1930 JL686B 48G 4SFP+ PoE 370W kommutatori</t>
        </is>
      </c>
      <c r="C29" s="5" t="inlineStr"/>
      <c r="D29" s="5" t="n">
        <v>11649456</v>
      </c>
      <c r="E29" s="5" t="n">
        <v>10401300</v>
      </c>
      <c r="F29" s="5" t="inlineStr"/>
      <c r="G29" s="5" t="inlineStr">
        <is>
          <t>HPE</t>
        </is>
      </c>
      <c r="H29" s="5">
        <f>HYPERLINK("https://itrix.uz/product/173", "🔗 Mahsulot sotib olish")</f>
        <v/>
      </c>
      <c r="I29" t="inlineStr">
        <is>
          <t>4-173-175</t>
        </is>
      </c>
    </row>
    <row r="30" ht="30" customHeight="1">
      <c r="A30" s="4" t="inlineStr">
        <is>
          <t>Switchlar</t>
        </is>
      </c>
      <c r="B30" s="4" t="inlineStr">
        <is>
          <t>Boshqariladigan kommutator Ubiquiti UniFi Switch 24 PoE US-24-250W</t>
        </is>
      </c>
      <c r="C30" s="5" t="inlineStr"/>
      <c r="D30" s="5" t="n">
        <v>11080496</v>
      </c>
      <c r="E30" s="5" t="n">
        <v>9893300</v>
      </c>
      <c r="F30" s="5" t="inlineStr"/>
      <c r="G30" s="5" t="inlineStr">
        <is>
          <t>UniFi UBIQUITI</t>
        </is>
      </c>
      <c r="H30" s="5">
        <f>HYPERLINK("https://itrix.uz/product/182", "🔗 Mahsulot sotib olish")</f>
        <v/>
      </c>
      <c r="I30" t="inlineStr">
        <is>
          <t>4-182-184</t>
        </is>
      </c>
    </row>
    <row r="31" ht="30" customHeight="1">
      <c r="A31" s="4" t="inlineStr">
        <is>
          <t>Switchlar</t>
        </is>
      </c>
      <c r="B31" s="4" t="inlineStr">
        <is>
          <t>Boshqariladigan kommutator Ubiquiti UniFi Switch 8 PoE US-8-150W</t>
        </is>
      </c>
      <c r="C31" s="5" t="inlineStr"/>
      <c r="D31" s="5" t="n">
        <v>3854704</v>
      </c>
      <c r="E31" s="5" t="n">
        <v>3441700</v>
      </c>
      <c r="F31" s="5" t="inlineStr"/>
      <c r="G31" s="5" t="inlineStr">
        <is>
          <t>UniFi UBIQUITI</t>
        </is>
      </c>
      <c r="H31" s="5">
        <f>HYPERLINK("https://itrix.uz/product/184", "🔗 Mahsulot sotib olish")</f>
        <v/>
      </c>
      <c r="I31" t="inlineStr">
        <is>
          <t>4-184-186</t>
        </is>
      </c>
    </row>
    <row r="32" ht="30" customHeight="1">
      <c r="A32" s="4" t="inlineStr">
        <is>
          <t>Switchlar</t>
        </is>
      </c>
      <c r="B32" s="4" t="inlineStr">
        <is>
          <t>Boshqariladigan kommutator Ubiquiti UniFi Switch 16 PoE US-16-150W</t>
        </is>
      </c>
      <c r="C32" s="5" t="inlineStr"/>
      <c r="D32" s="5" t="n">
        <v>5945632</v>
      </c>
      <c r="E32" s="5" t="n">
        <v>5308600</v>
      </c>
      <c r="F32" s="5" t="inlineStr"/>
      <c r="G32" s="5" t="inlineStr">
        <is>
          <t>UniFi UBIQUITI</t>
        </is>
      </c>
      <c r="H32" s="5">
        <f>HYPERLINK("https://itrix.uz/product/181", "🔗 Mahsulot sotib olish")</f>
        <v/>
      </c>
      <c r="I32" t="inlineStr">
        <is>
          <t>4-181-183</t>
        </is>
      </c>
    </row>
    <row r="33" ht="30" customHeight="1">
      <c r="A33" s="4" t="inlineStr">
        <is>
          <t>Switchlar</t>
        </is>
      </c>
      <c r="B33" s="4" t="inlineStr">
        <is>
          <t>Boshqariladigan kommutator Ubiquiti UniFi Switch 24 USW-24-EU</t>
        </is>
      </c>
      <c r="C33" s="5" t="inlineStr"/>
      <c r="D33" s="5" t="n">
        <v>4580128</v>
      </c>
      <c r="E33" s="5" t="n">
        <v>4089400</v>
      </c>
      <c r="F33" s="5" t="inlineStr"/>
      <c r="G33" s="5" t="inlineStr">
        <is>
          <t>UniFi UBIQUITI</t>
        </is>
      </c>
      <c r="H33" s="5">
        <f>HYPERLINK("https://itrix.uz/product/188", "🔗 Mahsulot sotib olish")</f>
        <v/>
      </c>
      <c r="I33" t="inlineStr">
        <is>
          <t>4-188-190</t>
        </is>
      </c>
    </row>
    <row r="34" ht="30" customHeight="1">
      <c r="A34" s="4" t="inlineStr">
        <is>
          <t>Tarmoqqa biriktirilgan xotira (NAS) va ma'lumotlarni saqlash tizimlari (DSS)</t>
        </is>
      </c>
      <c r="B34" s="4" t="inlineStr">
        <is>
          <t xml:space="preserve"> Tarmoqli saqlash qurilmasi (NAS) Synology FlashStation FS6400</t>
        </is>
      </c>
      <c r="C34" s="5" t="inlineStr"/>
      <c r="D34" s="5" t="n">
        <v>201241152</v>
      </c>
      <c r="E34" s="5" t="n">
        <v>179679600</v>
      </c>
      <c r="F34" s="5" t="inlineStr"/>
      <c r="G34" s="5" t="inlineStr">
        <is>
          <t>Synology</t>
        </is>
      </c>
      <c r="H34" s="5">
        <f>HYPERLINK("https://itrix.uz/product/277", "🔗 Mahsulot sotib olish")</f>
        <v/>
      </c>
      <c r="I34" t="inlineStr">
        <is>
          <t>4-277-279</t>
        </is>
      </c>
    </row>
    <row r="35" ht="30" customHeight="1">
      <c r="A35" s="4" t="inlineStr">
        <is>
          <t>Switchlar</t>
        </is>
      </c>
      <c r="B35" s="4" t="inlineStr">
        <is>
          <t xml:space="preserve"> 3-darajali boshqariladigan kommutator SNR-S300X-24FQ-2AC</t>
        </is>
      </c>
      <c r="C35" s="5" t="inlineStr"/>
      <c r="D35" s="5" t="n">
        <v>64136016</v>
      </c>
      <c r="E35" s="5" t="n">
        <v>57264300</v>
      </c>
      <c r="F35" s="5" t="inlineStr"/>
      <c r="G35" s="5" t="inlineStr">
        <is>
          <t>SNR</t>
        </is>
      </c>
      <c r="H35" s="5">
        <f>HYPERLINK("https://itrix.uz/product/463", "🔗 Mahsulot sotib olish")</f>
        <v/>
      </c>
      <c r="I35" t="inlineStr">
        <is>
          <t>4-463-447</t>
        </is>
      </c>
    </row>
    <row r="36" ht="30" customHeight="1">
      <c r="A36" s="4" t="inlineStr">
        <is>
          <t>Kopar patch kordlar</t>
        </is>
      </c>
      <c r="B36" s="4" t="inlineStr">
        <is>
          <t>Patch-kabel Cat 5e, FTP, RJ45, 26AWG, 7/0.16 Cu, 1.00 m, LSZH, Kulrang</t>
        </is>
      </c>
      <c r="C36" s="5" t="inlineStr"/>
      <c r="D36" s="5" t="n">
        <v>142240</v>
      </c>
      <c r="E36" s="5" t="n">
        <v>127000</v>
      </c>
      <c r="F36" s="5" t="inlineStr"/>
      <c r="G36" s="5" t="inlineStr">
        <is>
          <t>Intel</t>
        </is>
      </c>
      <c r="H36" s="5">
        <f>HYPERLINK("https://itrix.uz/product/256", "🔗 Mahsulot sotib olish")</f>
        <v/>
      </c>
      <c r="I36" t="inlineStr">
        <is>
          <t>4-256-258</t>
        </is>
      </c>
    </row>
    <row r="37" ht="30" customHeight="1">
      <c r="A37" s="4" t="inlineStr">
        <is>
          <t>Kopar patch kordlar</t>
        </is>
      </c>
      <c r="B37" s="4" t="inlineStr">
        <is>
          <t>Patch-kabel Cat 6, FTP, RJ45, 26AWG, 7/0.16 Cu, 1.00 m, LSZH, kulrang</t>
        </is>
      </c>
      <c r="C37" s="5" t="inlineStr"/>
      <c r="D37" s="5" t="n">
        <v>142240</v>
      </c>
      <c r="E37" s="5" t="n">
        <v>127000</v>
      </c>
      <c r="F37" s="5" t="inlineStr"/>
      <c r="G37" s="5" t="inlineStr">
        <is>
          <t>Intel</t>
        </is>
      </c>
      <c r="H37" s="5">
        <f>HYPERLINK("https://itrix.uz/product/260", "🔗 Mahsulot sotib olish")</f>
        <v/>
      </c>
      <c r="I37" t="inlineStr">
        <is>
          <t>4-260-261</t>
        </is>
      </c>
    </row>
    <row r="38" ht="30" customHeight="1">
      <c r="A38" s="4" t="inlineStr">
        <is>
          <t>Switchlar</t>
        </is>
      </c>
      <c r="B38" s="4" t="inlineStr">
        <is>
          <t>Ubiquiti UniFi Switch 16 USW-Lite-16-POE boshqariladigan tarmoq kommutatori</t>
        </is>
      </c>
      <c r="C38" s="5" t="inlineStr"/>
      <c r="D38" s="5" t="n">
        <v>4494784</v>
      </c>
      <c r="E38" s="5" t="n">
        <v>4013200</v>
      </c>
      <c r="F38" s="5" t="inlineStr"/>
      <c r="G38" s="5" t="inlineStr">
        <is>
          <t>UniFi UBIQUITI</t>
        </is>
      </c>
      <c r="H38" s="5">
        <f>HYPERLINK("https://itrix.uz/product/193", "🔗 Mahsulot sotib olish")</f>
        <v/>
      </c>
      <c r="I38" t="inlineStr">
        <is>
          <t>4-193-195</t>
        </is>
      </c>
    </row>
    <row r="39" ht="30" customHeight="1">
      <c r="A39" s="4" t="inlineStr">
        <is>
          <t>Switchlar</t>
        </is>
      </c>
      <c r="B39" s="4" t="inlineStr">
        <is>
          <t>H3C L2 S1850-28P 28-portli 24GE+4SFP tarmoq kommutatori</t>
        </is>
      </c>
      <c r="C39" s="5" t="inlineStr"/>
      <c r="D39" s="5" t="n">
        <v>2873248</v>
      </c>
      <c r="E39" s="5" t="n">
        <v>2565400</v>
      </c>
      <c r="F39" s="5" t="inlineStr"/>
      <c r="G39" s="5" t="inlineStr">
        <is>
          <t>H3C</t>
        </is>
      </c>
      <c r="H39" s="5">
        <f>HYPERLINK("https://itrix.uz/product/196", "🔗 Mahsulot sotib olish")</f>
        <v/>
      </c>
      <c r="I39" t="inlineStr">
        <is>
          <t>4-196-198</t>
        </is>
      </c>
    </row>
    <row r="40" ht="30" customHeight="1">
      <c r="A40" s="4" t="inlineStr">
        <is>
          <t>Switchlar</t>
        </is>
      </c>
      <c r="B40" s="4" t="inlineStr">
        <is>
          <t>H3C L2 S5130S-28S-LI 24 ta G va 4 ta 1G/10G SFP+ portli boshqariladigan tarmoq kommutatori</t>
        </is>
      </c>
      <c r="C40" s="5" t="inlineStr"/>
      <c r="D40" s="5" t="n">
        <v>3627120</v>
      </c>
      <c r="E40" s="5" t="n">
        <v>3238500</v>
      </c>
      <c r="F40" s="5" t="inlineStr"/>
      <c r="G40" s="5" t="inlineStr">
        <is>
          <t>H3C</t>
        </is>
      </c>
      <c r="H40" s="5">
        <f>HYPERLINK("https://itrix.uz/product/201", "🔗 Mahsulot sotib olish")</f>
        <v/>
      </c>
      <c r="I40" t="inlineStr">
        <is>
          <t>4-201-203</t>
        </is>
      </c>
    </row>
    <row r="41" ht="30" customHeight="1">
      <c r="A41" s="4" t="inlineStr">
        <is>
          <t>Switchlar</t>
        </is>
      </c>
      <c r="B41" s="4" t="inlineStr">
        <is>
          <t>H3C L2 S1850V2-28X 24G va 4 ta 1G/10G BASE-X SFP+ portli boshqariladigan tarmoq kommutatori</t>
        </is>
      </c>
      <c r="C41" s="5" t="inlineStr"/>
      <c r="D41" s="5" t="n">
        <v>5334000</v>
      </c>
      <c r="E41" s="5" t="n">
        <v>4762500</v>
      </c>
      <c r="F41" s="5" t="inlineStr"/>
      <c r="G41" s="5" t="inlineStr">
        <is>
          <t>H3C</t>
        </is>
      </c>
      <c r="H41" s="5">
        <f>HYPERLINK("https://itrix.uz/product/199", "🔗 Mahsulot sotib olish")</f>
        <v/>
      </c>
      <c r="I41" t="inlineStr">
        <is>
          <t>4-199-201</t>
        </is>
      </c>
    </row>
    <row r="42">
      <c r="A42" s="4" t="inlineStr">
        <is>
          <t>Switchlar</t>
        </is>
      </c>
      <c r="B42" s="4" t="inlineStr">
        <is>
          <t>H3C L2 S5120V2-28P-PWR-LI 24 ta Gbit + 4 ta SFP + PoE (185W) portli boshqariladigan tarmoq kommutatori</t>
        </is>
      </c>
      <c r="C42" s="5" t="inlineStr"/>
      <c r="D42" s="5" t="n">
        <v>5590032</v>
      </c>
      <c r="E42" s="5" t="n">
        <v>4991100</v>
      </c>
      <c r="F42" s="5" t="inlineStr"/>
      <c r="G42" s="5" t="inlineStr">
        <is>
          <t>H3C</t>
        </is>
      </c>
      <c r="H42" s="5">
        <f>HYPERLINK("https://itrix.uz/product/205", "🔗 Mahsulot sotib olish")</f>
        <v/>
      </c>
      <c r="I42" t="inlineStr">
        <is>
          <t>4-205-207</t>
        </is>
      </c>
    </row>
    <row r="43" ht="30" customHeight="1">
      <c r="A43" s="4" t="inlineStr">
        <is>
          <t>Switchlar</t>
        </is>
      </c>
      <c r="B43" s="4" t="inlineStr">
        <is>
          <t>Boshqariladigan kommutator Ubiquiti UniFi Switch 48 PoE USW-48-POE-EU</t>
        </is>
      </c>
      <c r="C43" s="5" t="inlineStr"/>
      <c r="D43" s="5" t="n">
        <v>10939109</v>
      </c>
      <c r="E43" s="5" t="n">
        <v>9767062</v>
      </c>
      <c r="F43" s="5" t="n">
        <v>9128125</v>
      </c>
      <c r="G43" s="5" t="inlineStr">
        <is>
          <t>UniFi UBIQUITI</t>
        </is>
      </c>
      <c r="H43" s="5">
        <f>HYPERLINK("https://itrix.uz/product/187", "🔗 Mahsulot sotib olish")</f>
        <v/>
      </c>
      <c r="I43" t="inlineStr">
        <is>
          <t>4-187-189</t>
        </is>
      </c>
    </row>
    <row r="44" ht="30" customHeight="1">
      <c r="A44" s="4" t="inlineStr">
        <is>
          <t>Switchlar</t>
        </is>
      </c>
      <c r="B44" s="4" t="inlineStr">
        <is>
          <t>Boshqariladigan kommutator Fortinet FortiSwitch FS-148F-FPOE 48G 4SFP+ PoE</t>
        </is>
      </c>
      <c r="C44" s="5" t="inlineStr"/>
      <c r="D44" s="5" t="n">
        <v>29657040</v>
      </c>
      <c r="E44" s="5" t="n">
        <v>26479500</v>
      </c>
      <c r="F44" s="5" t="inlineStr"/>
      <c r="G44" s="5" t="inlineStr">
        <is>
          <t>Fortinet</t>
        </is>
      </c>
      <c r="H44" s="5">
        <f>HYPERLINK("https://itrix.uz/product/177", "🔗 Mahsulot sotib olish")</f>
        <v/>
      </c>
      <c r="I44" t="inlineStr">
        <is>
          <t>4-177-179</t>
        </is>
      </c>
    </row>
    <row r="45" ht="30" customHeight="1">
      <c r="A45" s="4" t="inlineStr">
        <is>
          <t>Switchlar</t>
        </is>
      </c>
      <c r="B45" s="4" t="inlineStr">
        <is>
          <t>H3C L2 S5024PV3-EI-PWR 24 ta Gbit + PoE + 4 ta SFP portli boshqariladigan tarmoq kommutatori</t>
        </is>
      </c>
      <c r="C45" s="5" t="inlineStr"/>
      <c r="D45" s="5" t="n">
        <v>4836160</v>
      </c>
      <c r="E45" s="5" t="n">
        <v>4318000</v>
      </c>
      <c r="F45" s="5" t="inlineStr"/>
      <c r="G45" s="5" t="inlineStr">
        <is>
          <t>H3C</t>
        </is>
      </c>
      <c r="H45" s="5">
        <f>HYPERLINK("https://itrix.uz/product/204", "🔗 Mahsulot sotib olish")</f>
        <v/>
      </c>
      <c r="I45" t="inlineStr">
        <is>
          <t>4-204-206</t>
        </is>
      </c>
    </row>
    <row r="46" ht="30" customHeight="1">
      <c r="A46" s="4" t="inlineStr">
        <is>
          <t>Switchlar</t>
        </is>
      </c>
      <c r="B46" s="4" t="inlineStr">
        <is>
          <t>H3C L2 S5024PV3-EI boshqariladigan tarmoq kommutatori — 24 ta Gbit port va 4 ta SFP port bilan</t>
        </is>
      </c>
      <c r="C46" s="5" t="inlineStr"/>
      <c r="D46" s="5" t="n">
        <v>3499104</v>
      </c>
      <c r="E46" s="5" t="n">
        <v>3124200</v>
      </c>
      <c r="F46" s="5" t="inlineStr"/>
      <c r="G46" s="5" t="inlineStr">
        <is>
          <t>H3C</t>
        </is>
      </c>
      <c r="H46" s="5">
        <f>HYPERLINK("https://itrix.uz/product/216", "🔗 Mahsulot sotib olish")</f>
        <v/>
      </c>
      <c r="I46" t="inlineStr">
        <is>
          <t>4-216-218</t>
        </is>
      </c>
    </row>
    <row r="47" ht="30" customHeight="1">
      <c r="A47" s="4" t="inlineStr">
        <is>
          <t>Switchlar</t>
        </is>
      </c>
      <c r="B47" s="4" t="inlineStr">
        <is>
          <t>Boshqariladigan kommutator Fortinet FortiSwitch FS-124F-FPOE 24G 4SFP PoE</t>
        </is>
      </c>
      <c r="C47" s="5" t="inlineStr"/>
      <c r="D47" s="5" t="n">
        <v>18775680</v>
      </c>
      <c r="E47" s="5" t="n">
        <v>16764000</v>
      </c>
      <c r="F47" s="5" t="inlineStr"/>
      <c r="G47" s="5" t="inlineStr">
        <is>
          <t>Fortinet</t>
        </is>
      </c>
      <c r="H47" s="5">
        <f>HYPERLINK("https://itrix.uz/product/176", "🔗 Mahsulot sotib olish")</f>
        <v/>
      </c>
      <c r="I47" t="inlineStr">
        <is>
          <t>4-176-178</t>
        </is>
      </c>
    </row>
    <row r="48" ht="30" customHeight="1">
      <c r="A48" s="4" t="inlineStr">
        <is>
          <t>Switchlar</t>
        </is>
      </c>
      <c r="B48" s="4" t="inlineStr">
        <is>
          <t xml:space="preserve"> 2-darajali boshqariladigan kommutator SNR-S2962-24T</t>
        </is>
      </c>
      <c r="C48" s="5" t="inlineStr"/>
      <c r="D48" s="5" t="n">
        <v>1820672</v>
      </c>
      <c r="E48" s="5" t="n">
        <v>1625600</v>
      </c>
      <c r="F48" s="5" t="inlineStr"/>
      <c r="G48" s="5" t="inlineStr">
        <is>
          <t>SNR</t>
        </is>
      </c>
      <c r="H48" s="5">
        <f>HYPERLINK("https://itrix.uz/product/420", "🔗 Mahsulot sotib olish")</f>
        <v/>
      </c>
      <c r="I48" t="inlineStr">
        <is>
          <t>4-420-404</t>
        </is>
      </c>
    </row>
    <row r="49" ht="30" customHeight="1">
      <c r="A49" s="4" t="inlineStr">
        <is>
          <t>Switchlar</t>
        </is>
      </c>
      <c r="B49" s="4" t="inlineStr">
        <is>
          <t>Boshqariladigan kommutator Ubiquiti UniFi Switch 48 PoE US-48-500W</t>
        </is>
      </c>
      <c r="C49" s="5" t="inlineStr"/>
      <c r="D49" s="5" t="n">
        <v>16371824</v>
      </c>
      <c r="E49" s="5" t="n">
        <v>14617700</v>
      </c>
      <c r="F49" s="5" t="inlineStr"/>
      <c r="G49" s="5" t="inlineStr">
        <is>
          <t>UniFi UBIQUITI</t>
        </is>
      </c>
      <c r="H49" s="5">
        <f>HYPERLINK("https://itrix.uz/product/183", "🔗 Mahsulot sotib olish")</f>
        <v/>
      </c>
      <c r="I49" t="inlineStr">
        <is>
          <t>4-183-185</t>
        </is>
      </c>
    </row>
    <row r="50" ht="30" customHeight="1">
      <c r="A50" s="4" t="inlineStr">
        <is>
          <t>Switchlar</t>
        </is>
      </c>
      <c r="B50" s="4" t="inlineStr">
        <is>
          <t>Fortinet FortiSwitch 424E boshqariladigan kommutatori</t>
        </is>
      </c>
      <c r="C50" s="5" t="inlineStr"/>
      <c r="D50" s="5" t="n">
        <v>29870400</v>
      </c>
      <c r="E50" s="5" t="n">
        <v>26670000</v>
      </c>
      <c r="F50" s="5" t="inlineStr"/>
      <c r="G50" s="5" t="inlineStr">
        <is>
          <t>Fortinet</t>
        </is>
      </c>
      <c r="H50" s="5">
        <f>HYPERLINK("https://itrix.uz/product/609", "🔗 Mahsulot sotib olish")</f>
        <v/>
      </c>
      <c r="I50" t="inlineStr">
        <is>
          <t>4-609-563</t>
        </is>
      </c>
    </row>
    <row r="51" ht="30" customHeight="1">
      <c r="A51" s="4" t="inlineStr">
        <is>
          <t>Switchlar</t>
        </is>
      </c>
      <c r="B51" s="4" t="inlineStr">
        <is>
          <t>Dell EMC Networking S5248F-ON kommutatori</t>
        </is>
      </c>
      <c r="C51" s="5" t="inlineStr"/>
      <c r="D51" s="5" t="n">
        <v>79654400</v>
      </c>
      <c r="E51" s="5" t="n">
        <v>71120000</v>
      </c>
      <c r="F51" s="5" t="inlineStr"/>
      <c r="G51" s="5" t="inlineStr">
        <is>
          <t>Dell</t>
        </is>
      </c>
      <c r="H51" s="5">
        <f>HYPERLINK("https://itrix.uz/product/570", "🔗 Mahsulot sotib olish")</f>
        <v/>
      </c>
      <c r="I51" t="inlineStr">
        <is>
          <t>4-570-531</t>
        </is>
      </c>
    </row>
    <row r="52" ht="30" customHeight="1">
      <c r="A52" s="4" t="inlineStr">
        <is>
          <t>Switchlar</t>
        </is>
      </c>
      <c r="B52" s="4" t="inlineStr">
        <is>
          <t>Boshqariladigan kommutator Ubiquiti UniFi Switch 48 USW-PRO-48-EU</t>
        </is>
      </c>
      <c r="C52" s="5" t="inlineStr"/>
      <c r="D52" s="5" t="n">
        <v>12161520</v>
      </c>
      <c r="E52" s="5" t="n">
        <v>10858500</v>
      </c>
      <c r="F52" s="5" t="inlineStr"/>
      <c r="G52" s="5" t="inlineStr">
        <is>
          <t>UniFi UBIQUITI</t>
        </is>
      </c>
      <c r="H52" s="5">
        <f>HYPERLINK("https://itrix.uz/product/191", "🔗 Mahsulot sotib olish")</f>
        <v/>
      </c>
      <c r="I52" t="inlineStr">
        <is>
          <t>4-191-193</t>
        </is>
      </c>
    </row>
    <row r="53" ht="30" customHeight="1">
      <c r="A53" s="4" t="inlineStr">
        <is>
          <t>Switchlar</t>
        </is>
      </c>
      <c r="B53" s="4" t="inlineStr">
        <is>
          <t>Boshqariladigan kommutator Ubiquiti UniFi Switch 24 USW-PRO-24-EU</t>
        </is>
      </c>
      <c r="C53" s="5" t="inlineStr"/>
      <c r="D53" s="5" t="n">
        <v>8278368</v>
      </c>
      <c r="E53" s="5" t="n">
        <v>7391400</v>
      </c>
      <c r="F53" s="5" t="inlineStr"/>
      <c r="G53" s="5" t="inlineStr">
        <is>
          <t>UniFi UBIQUITI</t>
        </is>
      </c>
      <c r="H53" s="5">
        <f>HYPERLINK("https://itrix.uz/product/190", "🔗 Mahsulot sotib olish")</f>
        <v/>
      </c>
      <c r="I53" t="inlineStr">
        <is>
          <t>4-190-192</t>
        </is>
      </c>
    </row>
    <row r="54" ht="30" customHeight="1">
      <c r="A54" s="4" t="inlineStr">
        <is>
          <t>Switchlar</t>
        </is>
      </c>
      <c r="B54" s="4" t="inlineStr">
        <is>
          <t xml:space="preserve"> 2-darajali boshqariladigan kommutator SNR-S2985G-24TC</t>
        </is>
      </c>
      <c r="C54" s="5" t="inlineStr"/>
      <c r="D54" s="5" t="n">
        <v>3157728</v>
      </c>
      <c r="E54" s="5" t="n">
        <v>2819400</v>
      </c>
      <c r="F54" s="5" t="inlineStr"/>
      <c r="G54" s="5" t="inlineStr">
        <is>
          <t>SNR</t>
        </is>
      </c>
      <c r="H54" s="5">
        <f>HYPERLINK("https://itrix.uz/product/426", "🔗 Mahsulot sotib olish")</f>
        <v/>
      </c>
      <c r="I54" t="inlineStr">
        <is>
          <t>4-426-410</t>
        </is>
      </c>
    </row>
    <row r="55" ht="30" customHeight="1">
      <c r="A55" s="4" t="inlineStr">
        <is>
          <t>Switchlar</t>
        </is>
      </c>
      <c r="B55" s="4" t="inlineStr">
        <is>
          <t>Ubiquiti UniFi Switch Pro 24 PoE USW-Pro-24-POE boshqariladigan tarmoq kommutatori</t>
        </is>
      </c>
      <c r="C55" s="5" t="inlineStr"/>
      <c r="D55" s="5" t="n">
        <v>15689072</v>
      </c>
      <c r="E55" s="5" t="n">
        <v>14008100</v>
      </c>
      <c r="F55" s="5" t="inlineStr"/>
      <c r="G55" s="5" t="inlineStr">
        <is>
          <t>UniFi UBIQUITI</t>
        </is>
      </c>
      <c r="H55" s="5">
        <f>HYPERLINK("https://itrix.uz/product/194", "🔗 Mahsulot sotib olish")</f>
        <v/>
      </c>
      <c r="I55" t="inlineStr">
        <is>
          <t>4-194-196</t>
        </is>
      </c>
    </row>
    <row r="56" ht="30" customHeight="1">
      <c r="A56" s="4" t="inlineStr">
        <is>
          <t>Tarmoqqa biriktirilgan xotira (NAS) va ma'lumotlarni saqlash tizimlari (DSS)</t>
        </is>
      </c>
      <c r="B56" s="4" t="inlineStr">
        <is>
          <t>Tarmoqli saqlash qurilmasi (NAS) Synology DS920+</t>
        </is>
      </c>
      <c r="C56" s="5" t="inlineStr"/>
      <c r="D56" s="5" t="n">
        <v>10596880</v>
      </c>
      <c r="E56" s="5" t="n">
        <v>9461500</v>
      </c>
      <c r="F56" s="5" t="inlineStr"/>
      <c r="G56" s="5" t="inlineStr">
        <is>
          <t>Synology</t>
        </is>
      </c>
      <c r="H56" s="5">
        <f>HYPERLINK("https://itrix.uz/product/276", "🔗 Mahsulot sotib olish")</f>
        <v/>
      </c>
      <c r="I56" t="inlineStr">
        <is>
          <t>4-276-278</t>
        </is>
      </c>
    </row>
    <row r="57" ht="30" customHeight="1">
      <c r="A57" s="4" t="inlineStr">
        <is>
          <t>Switchlar</t>
        </is>
      </c>
      <c r="B57" s="4" t="inlineStr">
        <is>
          <t>H3C L2 S1850-52P 52 portli 48GE+4SFP tarmoq kommutatori</t>
        </is>
      </c>
      <c r="C57" s="5" t="inlineStr"/>
      <c r="D57" s="5" t="n">
        <v>5348224</v>
      </c>
      <c r="E57" s="5" t="n">
        <v>4775200</v>
      </c>
      <c r="F57" s="5" t="inlineStr"/>
      <c r="G57" s="5" t="inlineStr">
        <is>
          <t>H3C</t>
        </is>
      </c>
      <c r="H57" s="5">
        <f>HYPERLINK("https://itrix.uz/product/197", "🔗 Mahsulot sotib olish")</f>
        <v/>
      </c>
      <c r="I57" t="inlineStr">
        <is>
          <t>4-197-199</t>
        </is>
      </c>
    </row>
    <row r="58" ht="30" customHeight="1">
      <c r="A58" s="4" t="inlineStr">
        <is>
          <t>Kopar patch kordlar</t>
        </is>
      </c>
      <c r="B58" s="4" t="inlineStr">
        <is>
          <t>Patch-kabel Cat 6, FTP, RJ45, 26AWG, 7/0.16 Cu, 2.00 m, LSZH, kulrang</t>
        </is>
      </c>
      <c r="C58" s="5" t="inlineStr"/>
      <c r="D58" s="5" t="n">
        <v>142240</v>
      </c>
      <c r="E58" s="5" t="n">
        <v>127000</v>
      </c>
      <c r="F58" s="5" t="inlineStr"/>
      <c r="G58" s="5" t="inlineStr">
        <is>
          <t>Intel</t>
        </is>
      </c>
      <c r="H58" s="5">
        <f>HYPERLINK("https://itrix.uz/product/261", "🔗 Mahsulot sotib olish")</f>
        <v/>
      </c>
      <c r="I58" t="inlineStr">
        <is>
          <t>4-261-262</t>
        </is>
      </c>
    </row>
    <row r="59" ht="30" customHeight="1">
      <c r="A59" s="4" t="inlineStr">
        <is>
          <t>Switchlar</t>
        </is>
      </c>
      <c r="B59" s="4" t="inlineStr">
        <is>
          <t>H3C L2 S5120V2-20P-LI 16 ta G va 4 ta SFP portli boshqariladigan tarmoq kommutatori</t>
        </is>
      </c>
      <c r="C59" s="5" t="inlineStr"/>
      <c r="D59" s="5" t="n">
        <v>2802128</v>
      </c>
      <c r="E59" s="5" t="n">
        <v>2501900</v>
      </c>
      <c r="F59" s="5" t="inlineStr"/>
      <c r="G59" s="5" t="inlineStr">
        <is>
          <t>H3C</t>
        </is>
      </c>
      <c r="H59" s="5">
        <f>HYPERLINK("https://itrix.uz/product/200", "🔗 Mahsulot sotib olish")</f>
        <v/>
      </c>
      <c r="I59" t="inlineStr">
        <is>
          <t>4-200-202</t>
        </is>
      </c>
    </row>
    <row r="60" ht="30" customHeight="1">
      <c r="A60" s="4" t="inlineStr">
        <is>
          <t>Switchlar</t>
        </is>
      </c>
      <c r="B60" s="4" t="inlineStr">
        <is>
          <t>H3C L2 S1850-28P-PWR 28 portli (24 ta GE + 4 ta SFP + PoE AC) boshqariladigan tarmoq kommutatori</t>
        </is>
      </c>
      <c r="C60" s="5" t="inlineStr"/>
      <c r="D60" s="5" t="n">
        <v>5902960</v>
      </c>
      <c r="E60" s="5" t="n">
        <v>5270500</v>
      </c>
      <c r="F60" s="5" t="inlineStr"/>
      <c r="G60" s="5" t="inlineStr">
        <is>
          <t>H3C</t>
        </is>
      </c>
      <c r="H60" s="5">
        <f>HYPERLINK("https://itrix.uz/product/206", "🔗 Mahsulot sotib olish")</f>
        <v/>
      </c>
      <c r="I60" t="inlineStr">
        <is>
          <t>4-206-208</t>
        </is>
      </c>
    </row>
    <row r="61">
      <c r="A61" s="4" t="inlineStr">
        <is>
          <t>Switchlar</t>
        </is>
      </c>
      <c r="B61" s="4" t="inlineStr">
        <is>
          <t>Zyxel GS1350-26HP boshqariladigan tarmoq kommutatori — 24 ta gigabit port, 2 ta SFP port va PoE funksiyasi bilan</t>
        </is>
      </c>
      <c r="C61" s="5" t="inlineStr"/>
      <c r="D61" s="5" t="n">
        <v>11165840</v>
      </c>
      <c r="E61" s="5" t="n">
        <v>9969500</v>
      </c>
      <c r="F61" s="5" t="inlineStr"/>
      <c r="G61" s="5" t="inlineStr">
        <is>
          <t>Zyxel</t>
        </is>
      </c>
      <c r="H61" s="5">
        <f>HYPERLINK("https://itrix.uz/product/224", "🔗 Mahsulot sotib olish")</f>
        <v/>
      </c>
      <c r="I61" t="inlineStr">
        <is>
          <t>4-224-226</t>
        </is>
      </c>
    </row>
    <row r="62" ht="30" customHeight="1">
      <c r="A62" s="4" t="inlineStr">
        <is>
          <t>Switchlar</t>
        </is>
      </c>
      <c r="B62" s="4" t="inlineStr">
        <is>
          <t xml:space="preserve"> 2-darajali boshqariladigan kommutator SNR-S2985G-48T</t>
        </is>
      </c>
      <c r="C62" s="5" t="inlineStr"/>
      <c r="D62" s="5" t="n">
        <v>6500937</v>
      </c>
      <c r="E62" s="5" t="n">
        <v>5804408</v>
      </c>
      <c r="F62" s="5" t="inlineStr"/>
      <c r="G62" s="5" t="inlineStr">
        <is>
          <t>SNR</t>
        </is>
      </c>
      <c r="H62" s="5">
        <f>HYPERLINK("https://itrix.uz/product/430", "🔗 Mahsulot sotib olish")</f>
        <v/>
      </c>
      <c r="I62" t="inlineStr">
        <is>
          <t>4-430-414</t>
        </is>
      </c>
    </row>
    <row r="63" ht="30" customHeight="1">
      <c r="A63" s="4" t="inlineStr">
        <is>
          <t>Tarmoqqa biriktirilgan xotira (NAS) va ma'lumotlarni saqlash tizimlari (DSS)</t>
        </is>
      </c>
      <c r="B63" s="4" t="inlineStr">
        <is>
          <t>Tarmoqli saqlash qurilmasi (NAS) Synology DS1821+</t>
        </is>
      </c>
      <c r="C63" s="5" t="inlineStr"/>
      <c r="D63" s="5" t="n">
        <v>19600672</v>
      </c>
      <c r="E63" s="5" t="n">
        <v>17500600</v>
      </c>
      <c r="F63" s="5" t="inlineStr"/>
      <c r="G63" s="5" t="inlineStr">
        <is>
          <t>Synology</t>
        </is>
      </c>
      <c r="H63" s="5">
        <f>HYPERLINK("https://itrix.uz/product/273", "🔗 Mahsulot sotib olish")</f>
        <v/>
      </c>
      <c r="I63" t="inlineStr">
        <is>
          <t>4-273-275</t>
        </is>
      </c>
    </row>
    <row r="64" ht="30" customHeight="1">
      <c r="A64" s="4" t="inlineStr">
        <is>
          <t>Tarmoqqa biriktirilgan xotira (NAS) va ma'lumotlarni saqlash tizimlari (DSS)</t>
        </is>
      </c>
      <c r="B64" s="4" t="inlineStr">
        <is>
          <t xml:space="preserve"> Tarmoqli saqlash qurilmasi (NAS) Synology RackStation RS2423+</t>
        </is>
      </c>
      <c r="C64" s="5" t="inlineStr"/>
      <c r="D64" s="5" t="n">
        <v>41406064</v>
      </c>
      <c r="E64" s="5" t="n">
        <v>36969700</v>
      </c>
      <c r="F64" s="5" t="inlineStr"/>
      <c r="G64" s="5" t="inlineStr">
        <is>
          <t>Synology</t>
        </is>
      </c>
      <c r="H64" s="5">
        <f>HYPERLINK("https://itrix.uz/product/279", "🔗 Mahsulot sotib olish")</f>
        <v/>
      </c>
      <c r="I64" t="inlineStr">
        <is>
          <t>4-279-281</t>
        </is>
      </c>
    </row>
    <row r="65" ht="30" customHeight="1">
      <c r="A65" s="4" t="inlineStr">
        <is>
          <t>Switchlar</t>
        </is>
      </c>
      <c r="B65" s="4" t="inlineStr">
        <is>
          <t xml:space="preserve"> 2-darajali boshqariladigan POE kommutator SNR-S2985G-8T-POE</t>
        </is>
      </c>
      <c r="C65" s="5" t="inlineStr"/>
      <c r="D65" s="5" t="n">
        <v>3570224</v>
      </c>
      <c r="E65" s="5" t="n">
        <v>3187700</v>
      </c>
      <c r="F65" s="5" t="inlineStr"/>
      <c r="G65" s="5" t="inlineStr">
        <is>
          <t>SNR</t>
        </is>
      </c>
      <c r="H65" s="5">
        <f>HYPERLINK("https://itrix.uz/product/472", "🔗 Mahsulot sotib olish")</f>
        <v/>
      </c>
      <c r="I65" t="inlineStr">
        <is>
          <t>4-472-456</t>
        </is>
      </c>
    </row>
    <row r="66" ht="30" customHeight="1">
      <c r="A66" s="4" t="inlineStr">
        <is>
          <t>Tarmoq qurilmalari</t>
        </is>
      </c>
      <c r="B66" s="4" t="inlineStr">
        <is>
          <t xml:space="preserve"> 2U gacha bo‘lgan stoykali qurilmalar uchun ray to‘plami</t>
        </is>
      </c>
      <c r="C66" s="5" t="inlineStr"/>
      <c r="D66" s="5" t="n">
        <v>711200</v>
      </c>
      <c r="E66" s="5" t="n">
        <v>635000</v>
      </c>
      <c r="F66" s="5" t="inlineStr"/>
      <c r="G66" s="5" t="inlineStr"/>
      <c r="H66" s="5">
        <f>HYPERLINK("https://itrix.uz/product/282", "🔗 Mahsulot sotib olish")</f>
        <v/>
      </c>
      <c r="I66" t="inlineStr">
        <is>
          <t>4-282-284</t>
        </is>
      </c>
    </row>
    <row r="67">
      <c r="A67" s="4" t="inlineStr">
        <is>
          <t>Switchlar</t>
        </is>
      </c>
      <c r="B67" s="4" t="inlineStr">
        <is>
          <t>H3C L3 S5560S-52F-EI 48 ta Gbit SFP, 2 ta GE Combo port va 4 ta 1G/10G SFP+ portli boshqariladigan uchinchi darajali tarmoq kommutatori</t>
        </is>
      </c>
      <c r="C67" s="5" t="inlineStr"/>
      <c r="D67" s="5" t="n">
        <v>11948160</v>
      </c>
      <c r="E67" s="5" t="n">
        <v>10668000</v>
      </c>
      <c r="F67" s="5" t="inlineStr"/>
      <c r="G67" s="5" t="inlineStr">
        <is>
          <t>H3C</t>
        </is>
      </c>
      <c r="H67" s="5">
        <f>HYPERLINK("https://itrix.uz/product/207", "🔗 Mahsulot sotib olish")</f>
        <v/>
      </c>
      <c r="I67" t="inlineStr">
        <is>
          <t>4-207-209</t>
        </is>
      </c>
    </row>
    <row r="68" ht="30" customHeight="1">
      <c r="A68" s="4" t="inlineStr">
        <is>
          <t>Switchlar</t>
        </is>
      </c>
      <c r="B68" s="4" t="inlineStr">
        <is>
          <t>H3C L2 S1850V2-10P-EI 8 ta GE va 2 ta SFP portli boshqariladigan tarmoq kommutatori</t>
        </is>
      </c>
      <c r="C68" s="5" t="inlineStr"/>
      <c r="D68" s="5" t="n">
        <v>2346960</v>
      </c>
      <c r="E68" s="5" t="n">
        <v>2095500</v>
      </c>
      <c r="F68" s="5" t="inlineStr"/>
      <c r="G68" s="5" t="inlineStr">
        <is>
          <t>H3C</t>
        </is>
      </c>
      <c r="H68" s="5">
        <f>HYPERLINK("https://itrix.uz/product/198", "🔗 Mahsulot sotib olish")</f>
        <v/>
      </c>
      <c r="I68" t="inlineStr">
        <is>
          <t>4-198-200</t>
        </is>
      </c>
    </row>
    <row r="69" ht="30" customHeight="1">
      <c r="A69" s="4" t="inlineStr">
        <is>
          <t>Switchlar</t>
        </is>
      </c>
      <c r="B69" s="4" t="inlineStr">
        <is>
          <t xml:space="preserve"> 3-darajali boshqariladigan kommutator SNR-S3850G-24TX</t>
        </is>
      </c>
      <c r="C69" s="5" t="inlineStr"/>
      <c r="D69" s="5" t="n">
        <v>14792960</v>
      </c>
      <c r="E69" s="5" t="n">
        <v>13208000</v>
      </c>
      <c r="F69" s="5" t="inlineStr"/>
      <c r="G69" s="5" t="inlineStr">
        <is>
          <t>SNR</t>
        </is>
      </c>
      <c r="H69" s="5">
        <f>HYPERLINK("https://itrix.uz/product/453", "🔗 Mahsulot sotib olish")</f>
        <v/>
      </c>
      <c r="I69" t="inlineStr">
        <is>
          <t>4-453-437</t>
        </is>
      </c>
    </row>
    <row r="70" ht="30" customHeight="1">
      <c r="A70" s="4" t="inlineStr">
        <is>
          <t>Switchlar</t>
        </is>
      </c>
      <c r="B70" s="4" t="inlineStr">
        <is>
          <t>UniFi Switch Pro 48 PoE USW-Pro-48-POE boshqariladigan tarmoq kommutatori</t>
        </is>
      </c>
      <c r="C70" s="5" t="inlineStr"/>
      <c r="D70" s="5" t="n">
        <v>21833840</v>
      </c>
      <c r="E70" s="5" t="n">
        <v>19494500</v>
      </c>
      <c r="F70" s="5" t="inlineStr"/>
      <c r="G70" s="5" t="inlineStr">
        <is>
          <t>UniFi UBIQUITI</t>
        </is>
      </c>
      <c r="H70" s="5">
        <f>HYPERLINK("https://itrix.uz/product/195", "🔗 Mahsulot sotib olish")</f>
        <v/>
      </c>
      <c r="I70" t="inlineStr">
        <is>
          <t>4-195-197</t>
        </is>
      </c>
    </row>
    <row r="71" ht="30" customHeight="1">
      <c r="A71" s="4" t="inlineStr">
        <is>
          <t>Switchlar</t>
        </is>
      </c>
      <c r="B71" s="4" t="inlineStr">
        <is>
          <t xml:space="preserve"> 2-darajali boshqariladigan POE kommutator SNR-S2982G-24T-POE</t>
        </is>
      </c>
      <c r="C71" s="5" t="inlineStr"/>
      <c r="D71" s="5" t="n">
        <v>7226219</v>
      </c>
      <c r="E71" s="5" t="n">
        <v>6451981</v>
      </c>
      <c r="F71" s="5" t="n">
        <v>5760720</v>
      </c>
      <c r="G71" s="5" t="inlineStr">
        <is>
          <t>SNR</t>
        </is>
      </c>
      <c r="H71" s="5">
        <f>HYPERLINK("https://itrix.uz/product/473", "🔗 Mahsulot sotib olish")</f>
        <v/>
      </c>
      <c r="I71" t="inlineStr">
        <is>
          <t>4-473-457</t>
        </is>
      </c>
    </row>
    <row r="72" ht="30" customHeight="1">
      <c r="A72" s="4" t="inlineStr">
        <is>
          <t>Switchlar</t>
        </is>
      </c>
      <c r="B72" s="4" t="inlineStr">
        <is>
          <t xml:space="preserve"> 3-darajali boshqariladigan kommutator SNR-S4350X-24FC</t>
        </is>
      </c>
      <c r="C72" s="5" t="inlineStr"/>
      <c r="D72" s="5" t="n">
        <v>76525120</v>
      </c>
      <c r="E72" s="5" t="n">
        <v>68326000</v>
      </c>
      <c r="F72" s="5" t="inlineStr"/>
      <c r="G72" s="5" t="inlineStr">
        <is>
          <t>SNR</t>
        </is>
      </c>
      <c r="H72" s="5">
        <f>HYPERLINK("https://itrix.uz/product/456", "🔗 Mahsulot sotib olish")</f>
        <v/>
      </c>
      <c r="I72" t="inlineStr">
        <is>
          <t>4-456-440</t>
        </is>
      </c>
    </row>
    <row r="73" ht="30" customHeight="1">
      <c r="A73" s="4" t="inlineStr">
        <is>
          <t>Kopar patch kordlar</t>
        </is>
      </c>
      <c r="B73" s="4" t="inlineStr">
        <is>
          <t>Patch-kabel Cat 5e, FTP, RJ45, 26AWG, 7/0.16 Cu, 5.00 m, LSZH, kulrang</t>
        </is>
      </c>
      <c r="C73" s="5" t="inlineStr"/>
      <c r="D73" s="5" t="n">
        <v>142240</v>
      </c>
      <c r="E73" s="5" t="n">
        <v>127000</v>
      </c>
      <c r="F73" s="5" t="inlineStr"/>
      <c r="G73" s="5" t="inlineStr">
        <is>
          <t>Intel</t>
        </is>
      </c>
      <c r="H73" s="5">
        <f>HYPERLINK("https://itrix.uz/product/259", "🔗 Mahsulot sotib olish")</f>
        <v/>
      </c>
      <c r="I73" t="inlineStr">
        <is>
          <t>4-259-260</t>
        </is>
      </c>
    </row>
    <row r="74" ht="30" customHeight="1">
      <c r="A74" s="4" t="inlineStr">
        <is>
          <t>Switchlar</t>
        </is>
      </c>
      <c r="B74" s="4" t="inlineStr">
        <is>
          <t xml:space="preserve"> 3-darajali boshqariladigan kommutator SNR-S3850G-24FX</t>
        </is>
      </c>
      <c r="C74" s="5" t="inlineStr"/>
      <c r="D74" s="5" t="n">
        <v>12446000</v>
      </c>
      <c r="E74" s="5" t="n">
        <v>11112500</v>
      </c>
      <c r="F74" s="5" t="inlineStr"/>
      <c r="G74" s="5" t="inlineStr">
        <is>
          <t>SNR</t>
        </is>
      </c>
      <c r="H74" s="5">
        <f>HYPERLINK("https://itrix.uz/product/460", "🔗 Mahsulot sotib olish")</f>
        <v/>
      </c>
      <c r="I74" t="inlineStr">
        <is>
          <t>4-460-444</t>
        </is>
      </c>
    </row>
    <row r="75" ht="30" customHeight="1">
      <c r="A75" s="4" t="inlineStr">
        <is>
          <t>Kopar patch kordlar</t>
        </is>
      </c>
      <c r="B75" s="4" t="inlineStr">
        <is>
          <t>Patch-kabel Cat 6, FTP, RJ45, 26AWG, 7/0.16 Cu, 3.00 m, LSZH, kulrang</t>
        </is>
      </c>
      <c r="C75" s="5" t="inlineStr"/>
      <c r="D75" s="5" t="n">
        <v>142240</v>
      </c>
      <c r="E75" s="5" t="n">
        <v>127000</v>
      </c>
      <c r="F75" s="5" t="inlineStr"/>
      <c r="G75" s="5" t="inlineStr">
        <is>
          <t>Intel</t>
        </is>
      </c>
      <c r="H75" s="5">
        <f>HYPERLINK("https://itrix.uz/product/262", "🔗 Mahsulot sotib olish")</f>
        <v/>
      </c>
      <c r="I75" t="inlineStr">
        <is>
          <t>4-262-263</t>
        </is>
      </c>
    </row>
    <row r="76" ht="30" customHeight="1">
      <c r="A76" s="4" t="inlineStr">
        <is>
          <t>Switchlar</t>
        </is>
      </c>
      <c r="B76" s="4" t="inlineStr">
        <is>
          <t xml:space="preserve"> 2-darajali boshqariladigan kommutator SNR-S2990X-24FQ-2AC</t>
        </is>
      </c>
      <c r="C76" s="5" t="inlineStr"/>
      <c r="D76" s="5" t="n">
        <v>6244336</v>
      </c>
      <c r="E76" s="5" t="n">
        <v>5575300</v>
      </c>
      <c r="F76" s="5" t="inlineStr"/>
      <c r="G76" s="5" t="inlineStr">
        <is>
          <t>SNR</t>
        </is>
      </c>
      <c r="H76" s="5">
        <f>HYPERLINK("https://itrix.uz/product/464", "🔗 Mahsulot sotib olish")</f>
        <v/>
      </c>
      <c r="I76" t="inlineStr">
        <is>
          <t>4-464-448</t>
        </is>
      </c>
    </row>
    <row r="77" ht="30" customHeight="1">
      <c r="A77" s="4" t="inlineStr">
        <is>
          <t>Switchlar</t>
        </is>
      </c>
      <c r="B77" s="4" t="inlineStr">
        <is>
          <t xml:space="preserve"> 3-darajali boshqariladigan kommutator SNR-S7550Y-48C</t>
        </is>
      </c>
      <c r="C77" s="5" t="inlineStr"/>
      <c r="D77" s="5" t="n">
        <v>208523840</v>
      </c>
      <c r="E77" s="5" t="n">
        <v>186182000</v>
      </c>
      <c r="F77" s="5" t="inlineStr"/>
      <c r="G77" s="5" t="inlineStr">
        <is>
          <t>SNR</t>
        </is>
      </c>
      <c r="H77" s="5">
        <f>HYPERLINK("https://itrix.uz/product/468", "🔗 Mahsulot sotib olish")</f>
        <v/>
      </c>
      <c r="I77" t="inlineStr">
        <is>
          <t>4-468-452</t>
        </is>
      </c>
    </row>
    <row r="78">
      <c r="A78" s="4" t="inlineStr">
        <is>
          <t>Switchlar</t>
        </is>
      </c>
      <c r="B78" s="4" t="inlineStr">
        <is>
          <t>H3C S5560S-52S-SI boshqariladigan tarmoq kommutatori — 48 ta Gbit port va 4 ta 1G/10G SFP+ port bilan</t>
        </is>
      </c>
      <c r="C78" s="5" t="inlineStr"/>
      <c r="D78" s="5" t="n">
        <v>8733536</v>
      </c>
      <c r="E78" s="5" t="n">
        <v>7797800</v>
      </c>
      <c r="F78" s="5" t="inlineStr"/>
      <c r="G78" s="5" t="inlineStr">
        <is>
          <t>H3C</t>
        </is>
      </c>
      <c r="H78" s="5">
        <f>HYPERLINK("https://itrix.uz/product/214", "🔗 Mahsulot sotib olish")</f>
        <v/>
      </c>
      <c r="I78" t="inlineStr">
        <is>
          <t>4-214-216</t>
        </is>
      </c>
    </row>
    <row r="79" ht="30" customHeight="1">
      <c r="A79" s="4" t="inlineStr">
        <is>
          <t>Switchlar</t>
        </is>
      </c>
      <c r="B79" s="4" t="inlineStr">
        <is>
          <t>Boshqariladigan kommutator HPE Aruba 2930F JL256A 48G PoE+ 4SFP+</t>
        </is>
      </c>
      <c r="C79" s="5" t="inlineStr"/>
      <c r="D79" s="5" t="n">
        <v>38319456</v>
      </c>
      <c r="E79" s="5" t="n">
        <v>34213800</v>
      </c>
      <c r="F79" s="5" t="inlineStr"/>
      <c r="G79" s="5" t="inlineStr">
        <is>
          <t>HPE</t>
        </is>
      </c>
      <c r="H79" s="5">
        <f>HYPERLINK("https://itrix.uz/product/161", "🔗 Mahsulot sotib olish")</f>
        <v/>
      </c>
      <c r="I79" t="inlineStr">
        <is>
          <t>4-161-165</t>
        </is>
      </c>
    </row>
    <row r="80" ht="30" customHeight="1">
      <c r="A80" s="4" t="inlineStr">
        <is>
          <t>Switchlar</t>
        </is>
      </c>
      <c r="B80" s="4" t="inlineStr">
        <is>
          <t xml:space="preserve"> 2-darajali boshqariladigan POE kommutator SNR-S2200G-8T-POE</t>
        </is>
      </c>
      <c r="C80" s="5" t="inlineStr"/>
      <c r="D80" s="5" t="n">
        <v>2628026</v>
      </c>
      <c r="E80" s="5" t="n">
        <v>2346452</v>
      </c>
      <c r="F80" s="5" t="inlineStr"/>
      <c r="G80" s="5" t="inlineStr">
        <is>
          <t>SNR</t>
        </is>
      </c>
      <c r="H80" s="5">
        <f>HYPERLINK("https://itrix.uz/product/471", "🔗 Mahsulot sotib olish")</f>
        <v/>
      </c>
      <c r="I80" t="inlineStr">
        <is>
          <t>4-471-455</t>
        </is>
      </c>
    </row>
    <row r="81" ht="30" customHeight="1">
      <c r="A81" s="4" t="inlineStr">
        <is>
          <t>Switchlar</t>
        </is>
      </c>
      <c r="B81" s="4" t="inlineStr">
        <is>
          <t xml:space="preserve"> 2+ darajali boshqariladigan PoE kommutator SNR-S5210G-24TX-POE</t>
        </is>
      </c>
      <c r="C81" s="5" t="inlineStr"/>
      <c r="D81" s="5" t="n">
        <v>7192508</v>
      </c>
      <c r="E81" s="5" t="n">
        <v>6421882</v>
      </c>
      <c r="F81" s="5" t="inlineStr"/>
      <c r="G81" s="5" t="inlineStr">
        <is>
          <t>SNR</t>
        </is>
      </c>
      <c r="H81" s="5">
        <f>HYPERLINK("https://itrix.uz/product/475", "🔗 Mahsulot sotib olish")</f>
        <v/>
      </c>
      <c r="I81" t="inlineStr">
        <is>
          <t>4-475-459</t>
        </is>
      </c>
    </row>
    <row r="82" ht="30" customHeight="1">
      <c r="A82" s="4" t="inlineStr">
        <is>
          <t>Switchlar</t>
        </is>
      </c>
      <c r="B82" s="4" t="inlineStr">
        <is>
          <t>3-darajali boshqariladigan PoE kommutator SNR-S2995G-48TX-POE-POE</t>
        </is>
      </c>
      <c r="C82" s="5" t="inlineStr"/>
      <c r="D82" s="5" t="n">
        <v>24674942</v>
      </c>
      <c r="E82" s="5" t="n">
        <v>22031198</v>
      </c>
      <c r="F82" s="5" t="n">
        <v>20589875</v>
      </c>
      <c r="G82" s="5" t="inlineStr">
        <is>
          <t>SNR</t>
        </is>
      </c>
      <c r="H82" s="5">
        <f>HYPERLINK("https://itrix.uz/product/480", "🔗 Mahsulot sotib olish")</f>
        <v/>
      </c>
      <c r="I82" t="inlineStr">
        <is>
          <t>4-480-464</t>
        </is>
      </c>
    </row>
    <row r="83" ht="30" customHeight="1">
      <c r="A83" s="4" t="inlineStr">
        <is>
          <t>Switchlar</t>
        </is>
      </c>
      <c r="B83" s="4" t="inlineStr">
        <is>
          <t xml:space="preserve"> 2+ darajali boshqariladigan PoE kommutator SNR-S5310G-48TX-POE</t>
        </is>
      </c>
      <c r="C83" s="5" t="inlineStr"/>
      <c r="D83" s="5" t="n">
        <v>14522704</v>
      </c>
      <c r="E83" s="5" t="n">
        <v>12966700</v>
      </c>
      <c r="F83" s="5" t="inlineStr"/>
      <c r="G83" s="5" t="inlineStr">
        <is>
          <t>SNR</t>
        </is>
      </c>
      <c r="H83" s="5">
        <f>HYPERLINK("https://itrix.uz/product/481", "🔗 Mahsulot sotib olish")</f>
        <v/>
      </c>
      <c r="I83" t="inlineStr">
        <is>
          <t>4-481-465</t>
        </is>
      </c>
    </row>
    <row r="84" ht="30" customHeight="1">
      <c r="A84" s="4" t="inlineStr">
        <is>
          <t>Switchlar</t>
        </is>
      </c>
      <c r="B84" s="4" t="inlineStr">
        <is>
          <t>Коммутатор Zyxel GS-105B V3 5G Switch</t>
        </is>
      </c>
      <c r="C84" s="5" t="inlineStr"/>
      <c r="D84" s="5" t="n">
        <v>583184</v>
      </c>
      <c r="E84" s="5" t="n">
        <v>520700</v>
      </c>
      <c r="F84" s="5" t="inlineStr"/>
      <c r="G84" s="5" t="inlineStr">
        <is>
          <t>Zyxel</t>
        </is>
      </c>
      <c r="H84" s="5">
        <f>HYPERLINK("https://itrix.uz/product/219", "🔗 Mahsulot sotib olish")</f>
        <v/>
      </c>
      <c r="I84" t="inlineStr">
        <is>
          <t>4-219-221</t>
        </is>
      </c>
    </row>
    <row r="85" ht="30" customHeight="1">
      <c r="A85" s="4" t="inlineStr">
        <is>
          <t>Switchlar</t>
        </is>
      </c>
      <c r="B85" s="4" t="inlineStr">
        <is>
          <t xml:space="preserve"> 2-darajali boshqariladigan PoE kommutator SNR-S2989G-24TX-POE</t>
        </is>
      </c>
      <c r="C85" s="5" t="inlineStr"/>
      <c r="D85" s="5" t="n">
        <v>9405620</v>
      </c>
      <c r="E85" s="5" t="n">
        <v>8397875</v>
      </c>
      <c r="F85" s="5" t="inlineStr"/>
      <c r="G85" s="5" t="inlineStr">
        <is>
          <t>SNR</t>
        </is>
      </c>
      <c r="H85" s="5">
        <f>HYPERLINK("https://itrix.uz/product/476", "🔗 Mahsulot sotib olish")</f>
        <v/>
      </c>
      <c r="I85" t="inlineStr">
        <is>
          <t>4-476-460</t>
        </is>
      </c>
    </row>
    <row r="86" ht="30" customHeight="1">
      <c r="A86" s="4" t="inlineStr">
        <is>
          <t>Switchlar</t>
        </is>
      </c>
      <c r="B86" s="4" t="inlineStr">
        <is>
          <t xml:space="preserve"> 2-darajali boshqariladigan PoE kommutator SNR-S2989G-48TX-POE</t>
        </is>
      </c>
      <c r="C86" s="5" t="inlineStr"/>
      <c r="D86" s="5" t="n">
        <v>17282160</v>
      </c>
      <c r="E86" s="5" t="n">
        <v>15430500</v>
      </c>
      <c r="F86" s="5" t="inlineStr"/>
      <c r="G86" s="5" t="inlineStr">
        <is>
          <t>SNR</t>
        </is>
      </c>
      <c r="H86" s="5">
        <f>HYPERLINK("https://itrix.uz/product/479", "🔗 Mahsulot sotib olish")</f>
        <v/>
      </c>
      <c r="I86" t="inlineStr">
        <is>
          <t>4-479-463</t>
        </is>
      </c>
    </row>
    <row r="87" ht="30" customHeight="1">
      <c r="A87" s="4" t="inlineStr">
        <is>
          <t>Switchlar</t>
        </is>
      </c>
      <c r="B87" s="4" t="inlineStr">
        <is>
          <t>Dell Connectrix B-Series G720 kommutatori (SAN tarmoq uchun)</t>
        </is>
      </c>
      <c r="C87" s="5" t="inlineStr"/>
      <c r="D87" s="5" t="n">
        <v>11379200</v>
      </c>
      <c r="E87" s="5" t="n">
        <v>10160000</v>
      </c>
      <c r="F87" s="5" t="inlineStr"/>
      <c r="G87" s="5" t="inlineStr">
        <is>
          <t>Dell</t>
        </is>
      </c>
      <c r="H87" s="5">
        <f>HYPERLINK("https://itrix.uz/product/578", "🔗 Mahsulot sotib olish")</f>
        <v/>
      </c>
      <c r="I87" t="inlineStr">
        <is>
          <t>4-578-537</t>
        </is>
      </c>
    </row>
    <row r="88" ht="30" customHeight="1">
      <c r="A88" s="4" t="inlineStr">
        <is>
          <t>Switchlar</t>
        </is>
      </c>
      <c r="B88" s="4" t="inlineStr">
        <is>
          <t>Boshqariladigan kommutator HPE Aruba 6100 JL676A 48G 4SFP+</t>
        </is>
      </c>
      <c r="C88" s="5" t="inlineStr"/>
      <c r="D88" s="5" t="n">
        <v>49869344</v>
      </c>
      <c r="E88" s="5" t="n">
        <v>44526200</v>
      </c>
      <c r="F88" s="5" t="inlineStr"/>
      <c r="G88" s="5" t="inlineStr">
        <is>
          <t>HPE</t>
        </is>
      </c>
      <c r="H88" s="5">
        <f>HYPERLINK("https://itrix.uz/product/163", "🔗 Mahsulot sotib olish")</f>
        <v/>
      </c>
      <c r="I88" t="inlineStr">
        <is>
          <t>4-163-166</t>
        </is>
      </c>
    </row>
    <row r="89" ht="30" customHeight="1">
      <c r="A89" s="4" t="inlineStr">
        <is>
          <t>Tarmoqqa biriktirilgan xotira (NAS) va ma'lumotlarni saqlash tizimlari (DSS)</t>
        </is>
      </c>
      <c r="B89" s="4" t="inlineStr">
        <is>
          <t>Tarmoqli saqlash qurilmasi (NAS) Synology DS1621+</t>
        </is>
      </c>
      <c r="C89" s="5" t="inlineStr"/>
      <c r="D89" s="5" t="n">
        <v>18391632</v>
      </c>
      <c r="E89" s="5" t="n">
        <v>16421100</v>
      </c>
      <c r="F89" s="5" t="inlineStr"/>
      <c r="G89" s="5" t="inlineStr">
        <is>
          <t>Synology</t>
        </is>
      </c>
      <c r="H89" s="5">
        <f>HYPERLINK("https://itrix.uz/product/268", "🔗 Mahsulot sotib olish")</f>
        <v/>
      </c>
      <c r="I89" t="inlineStr">
        <is>
          <t>4-268-270</t>
        </is>
      </c>
    </row>
    <row r="90" ht="30" customHeight="1">
      <c r="A90" s="4" t="inlineStr">
        <is>
          <t>Switchlar</t>
        </is>
      </c>
      <c r="B90" s="4" t="inlineStr">
        <is>
          <t xml:space="preserve"> L2+ darajali boshqariladigan kommutator Ruijie Reyee RG-NBS5100-24GT4SFP</t>
        </is>
      </c>
      <c r="C90" s="5" t="inlineStr"/>
      <c r="D90" s="5" t="n">
        <v>4608576</v>
      </c>
      <c r="E90" s="5" t="n">
        <v>4114800</v>
      </c>
      <c r="F90" s="5" t="inlineStr"/>
      <c r="G90" s="5" t="inlineStr">
        <is>
          <t>Reyee</t>
        </is>
      </c>
      <c r="H90" s="5">
        <f>HYPERLINK("https://itrix.uz/product/492", "🔗 Mahsulot sotib olish")</f>
        <v/>
      </c>
      <c r="I90" t="inlineStr">
        <is>
          <t>4-492-476</t>
        </is>
      </c>
    </row>
    <row r="91" ht="30" customHeight="1">
      <c r="A91" s="4" t="inlineStr">
        <is>
          <t>Switchlar</t>
        </is>
      </c>
      <c r="B91" s="4" t="inlineStr">
        <is>
          <t xml:space="preserve"> L2+ darajali boshqariladigan kommutator Ruijie Reyee RG-NBS5200-48GT4XS</t>
        </is>
      </c>
      <c r="C91" s="5" t="inlineStr"/>
      <c r="D91" s="5" t="n">
        <v>9643872</v>
      </c>
      <c r="E91" s="5" t="n">
        <v>8610600</v>
      </c>
      <c r="F91" s="5" t="inlineStr"/>
      <c r="G91" s="5" t="inlineStr">
        <is>
          <t>Reyee</t>
        </is>
      </c>
      <c r="H91" s="5">
        <f>HYPERLINK("https://itrix.uz/product/494", "🔗 Mahsulot sotib olish")</f>
        <v/>
      </c>
      <c r="I91" t="inlineStr">
        <is>
          <t>4-494-478</t>
        </is>
      </c>
    </row>
    <row r="92">
      <c r="A92" s="4" t="inlineStr">
        <is>
          <t>Switchlar</t>
        </is>
      </c>
      <c r="B92" s="4" t="inlineStr">
        <is>
          <t>H3C L3 S6520X-26C-SI boshqariladigan darajadagi 3-tarmoq kommutatori — 24 ta 1G/10G SFP+ port va 1 ta modul sloti bilan</t>
        </is>
      </c>
      <c r="C92" s="5" t="inlineStr"/>
      <c r="D92" s="5" t="n">
        <v>22914864</v>
      </c>
      <c r="E92" s="5" t="n">
        <v>20459700</v>
      </c>
      <c r="F92" s="5" t="inlineStr"/>
      <c r="G92" s="5" t="inlineStr">
        <is>
          <t>H3C</t>
        </is>
      </c>
      <c r="H92" s="5">
        <f>HYPERLINK("https://itrix.uz/product/215", "🔗 Mahsulot sotib olish")</f>
        <v/>
      </c>
      <c r="I92" t="inlineStr">
        <is>
          <t>4-215-217</t>
        </is>
      </c>
    </row>
    <row r="93" ht="30" customHeight="1">
      <c r="A93" s="4" t="inlineStr">
        <is>
          <t>Switchlar</t>
        </is>
      </c>
      <c r="B93" s="4" t="inlineStr">
        <is>
          <t>HPE Aruba IOn 1960 JL807A 24G PoE 2XGT 2SFP+ 370W kommutatori</t>
        </is>
      </c>
      <c r="C93" s="5" t="inlineStr"/>
      <c r="D93" s="5" t="n">
        <v>21023072</v>
      </c>
      <c r="E93" s="5" t="n">
        <v>18770600</v>
      </c>
      <c r="F93" s="5" t="inlineStr"/>
      <c r="G93" s="5" t="inlineStr">
        <is>
          <t>HPE</t>
        </is>
      </c>
      <c r="H93" s="5">
        <f>HYPERLINK("https://itrix.uz/product/166", "🔗 Mahsulot sotib olish")</f>
        <v/>
      </c>
      <c r="I93" t="inlineStr">
        <is>
          <t>4-166-168</t>
        </is>
      </c>
    </row>
    <row r="94" ht="30" customHeight="1">
      <c r="A94" s="4" t="inlineStr">
        <is>
          <t>Switchlar</t>
        </is>
      </c>
      <c r="B94" s="4" t="inlineStr">
        <is>
          <t xml:space="preserve">  Boshqarilmaydigan POE kommutator SNR-S1904GP-2S</t>
        </is>
      </c>
      <c r="C94" s="5" t="inlineStr"/>
      <c r="D94" s="5" t="n">
        <v>1521399</v>
      </c>
      <c r="E94" s="5" t="n">
        <v>1358392</v>
      </c>
      <c r="F94" s="5" t="inlineStr"/>
      <c r="G94" s="5" t="inlineStr">
        <is>
          <t>SNR</t>
        </is>
      </c>
      <c r="H94" s="5">
        <f>HYPERLINK("https://itrix.uz/product/482", "🔗 Mahsulot sotib olish")</f>
        <v/>
      </c>
      <c r="I94" t="inlineStr">
        <is>
          <t>4-482-466</t>
        </is>
      </c>
    </row>
    <row r="95" ht="30" customHeight="1">
      <c r="A95" s="4" t="inlineStr">
        <is>
          <t>Tarmoqqa biriktirilgan xotira (NAS) va ma'lumotlarni saqlash tizimlari (DSS)</t>
        </is>
      </c>
      <c r="B95" s="4" t="inlineStr">
        <is>
          <t>Tarmoqli saqlash qurilmasi (NAS) Synology DS923+</t>
        </is>
      </c>
      <c r="C95" s="5" t="inlineStr"/>
      <c r="D95" s="5" t="n">
        <v>11165840</v>
      </c>
      <c r="E95" s="5" t="n">
        <v>9969500</v>
      </c>
      <c r="F95" s="5" t="inlineStr"/>
      <c r="G95" s="5" t="inlineStr">
        <is>
          <t>Synology</t>
        </is>
      </c>
      <c r="H95" s="5">
        <f>HYPERLINK("https://itrix.uz/product/266", "🔗 Mahsulot sotib olish")</f>
        <v/>
      </c>
      <c r="I95" t="inlineStr">
        <is>
          <t>4-266-268</t>
        </is>
      </c>
    </row>
    <row r="96" ht="30" customHeight="1">
      <c r="A96" s="4" t="inlineStr">
        <is>
          <t>Switchlar</t>
        </is>
      </c>
      <c r="B96" s="4" t="inlineStr">
        <is>
          <t xml:space="preserve"> 2-darajali boshqariladigan kommutator SNR-S2985G-24T-UPS</t>
        </is>
      </c>
      <c r="C96" s="5" t="inlineStr"/>
      <c r="D96" s="5" t="n">
        <v>4011168</v>
      </c>
      <c r="E96" s="5" t="n">
        <v>3581400</v>
      </c>
      <c r="F96" s="5" t="inlineStr"/>
      <c r="G96" s="5" t="inlineStr">
        <is>
          <t>SNR</t>
        </is>
      </c>
      <c r="H96" s="5">
        <f>HYPERLINK("https://itrix.uz/product/429", "🔗 Mahsulot sotib olish")</f>
        <v/>
      </c>
      <c r="I96" t="inlineStr">
        <is>
          <t>4-429-413</t>
        </is>
      </c>
    </row>
    <row r="97" ht="30" customHeight="1">
      <c r="A97" s="4" t="inlineStr">
        <is>
          <t>Tarmoqqa biriktirilgan xotira (NAS) va ma'lumotlarni saqlash tizimlari (DSS)</t>
        </is>
      </c>
      <c r="B97" s="4" t="inlineStr">
        <is>
          <t xml:space="preserve"> Tarmoqli saqlash qurilmasi (NAS) Synology DS1019+</t>
        </is>
      </c>
      <c r="C97" s="5" t="inlineStr"/>
      <c r="D97" s="5" t="n">
        <v>13982192</v>
      </c>
      <c r="E97" s="5" t="n">
        <v>12484100</v>
      </c>
      <c r="F97" s="5" t="inlineStr"/>
      <c r="G97" s="5" t="inlineStr">
        <is>
          <t>Synology</t>
        </is>
      </c>
      <c r="H97" s="5">
        <f>HYPERLINK("https://itrix.uz/product/270", "🔗 Mahsulot sotib olish")</f>
        <v/>
      </c>
      <c r="I97" t="inlineStr">
        <is>
          <t>4-270-272</t>
        </is>
      </c>
    </row>
    <row r="98">
      <c r="A98" s="4" t="inlineStr">
        <is>
          <t>Switchlar</t>
        </is>
      </c>
      <c r="B98" s="4" t="inlineStr">
        <is>
          <t>H3C L3 S6520X-16XT-SI boshqariladigan 3-darajali tarmoq kommutatori — 14 ta 1G/2.5G/5G/10G port va 2 ta 1G/10G SFP+ port bilan</t>
        </is>
      </c>
      <c r="C98" s="5" t="inlineStr"/>
      <c r="D98" s="5" t="n">
        <v>21151088</v>
      </c>
      <c r="E98" s="5" t="n">
        <v>18884900</v>
      </c>
      <c r="F98" s="5" t="inlineStr"/>
      <c r="G98" s="5" t="inlineStr">
        <is>
          <t>H3C</t>
        </is>
      </c>
      <c r="H98" s="5">
        <f>HYPERLINK("https://itrix.uz/product/218", "🔗 Mahsulot sotib olish")</f>
        <v/>
      </c>
      <c r="I98" t="inlineStr">
        <is>
          <t>4-218-220</t>
        </is>
      </c>
    </row>
    <row r="99" ht="30" customHeight="1">
      <c r="A99" s="4" t="inlineStr">
        <is>
          <t>Switchlar</t>
        </is>
      </c>
      <c r="B99" s="4" t="inlineStr">
        <is>
          <t xml:space="preserve"> 2+ darajali boshqariladigan kommutator SNR-S2990-16X</t>
        </is>
      </c>
      <c r="C99" s="5" t="inlineStr"/>
      <c r="D99" s="5" t="n">
        <v>35222749</v>
      </c>
      <c r="E99" s="5" t="n">
        <v>31448883</v>
      </c>
      <c r="F99" s="5" t="inlineStr"/>
      <c r="G99" s="5" t="inlineStr">
        <is>
          <t>SNR</t>
        </is>
      </c>
      <c r="H99" s="5">
        <f>HYPERLINK("https://itrix.uz/product/436", "🔗 Mahsulot sotib olish")</f>
        <v/>
      </c>
      <c r="I99" t="inlineStr">
        <is>
          <t>4-436-420</t>
        </is>
      </c>
    </row>
    <row r="100" ht="30" customHeight="1">
      <c r="A100" s="4" t="inlineStr">
        <is>
          <t>Switchlar</t>
        </is>
      </c>
      <c r="B100" s="4" t="inlineStr">
        <is>
          <t>HPE Aruba IOn 1930 JL683B 24G 4SFP+ PoE 195W kommutatori</t>
        </is>
      </c>
      <c r="C100" s="5" t="inlineStr"/>
      <c r="D100" s="5" t="n">
        <v>8577072</v>
      </c>
      <c r="E100" s="5" t="n">
        <v>7658100</v>
      </c>
      <c r="F100" s="5" t="inlineStr"/>
      <c r="G100" s="5" t="inlineStr">
        <is>
          <t>HPE</t>
        </is>
      </c>
      <c r="H100" s="5">
        <f>HYPERLINK("https://itrix.uz/product/171", "🔗 Mahsulot sotib olish")</f>
        <v/>
      </c>
      <c r="I100" t="inlineStr">
        <is>
          <t>4-171-173</t>
        </is>
      </c>
    </row>
    <row r="101">
      <c r="A101" s="4" t="inlineStr">
        <is>
          <t>Switchlar</t>
        </is>
      </c>
      <c r="B101" s="4" t="inlineStr">
        <is>
          <t>H3C L2 S5170-28S-EI boshqariladigan tarmoq kommutatori — 24 ta Gbit port, PoE qo‘llab-quvvatlovi va 4 ta SFP port bilan</t>
        </is>
      </c>
      <c r="C101" s="5" t="inlineStr"/>
      <c r="D101" s="5" t="n">
        <v>6557264</v>
      </c>
      <c r="E101" s="5" t="n">
        <v>5854700</v>
      </c>
      <c r="F101" s="5" t="inlineStr"/>
      <c r="G101" s="5" t="inlineStr">
        <is>
          <t>H3C</t>
        </is>
      </c>
      <c r="H101" s="5">
        <f>HYPERLINK("https://itrix.uz/product/217", "🔗 Mahsulot sotib olish")</f>
        <v/>
      </c>
      <c r="I101" t="inlineStr">
        <is>
          <t>4-217-219</t>
        </is>
      </c>
    </row>
    <row r="102" ht="30" customHeight="1">
      <c r="A102" s="4" t="inlineStr">
        <is>
          <t>Switchlar</t>
        </is>
      </c>
      <c r="B102" s="4" t="inlineStr">
        <is>
          <t>Ubiquiti UniFi Switch Flex Mini 5 dona boshqariladigan tarmoq kommutatorlari to‘plami</t>
        </is>
      </c>
      <c r="C102" s="5" t="inlineStr"/>
      <c r="D102" s="5" t="n">
        <v>3371088</v>
      </c>
      <c r="E102" s="5" t="n">
        <v>3009900</v>
      </c>
      <c r="F102" s="5" t="inlineStr"/>
      <c r="G102" s="5" t="inlineStr">
        <is>
          <t>UniFi UBIQUITI</t>
        </is>
      </c>
      <c r="H102" s="5">
        <f>HYPERLINK("https://itrix.uz/product/192", "🔗 Mahsulot sotib olish")</f>
        <v/>
      </c>
      <c r="I102" t="inlineStr">
        <is>
          <t>4-192-194</t>
        </is>
      </c>
    </row>
    <row r="103" ht="30" customHeight="1">
      <c r="A103" s="4" t="inlineStr">
        <is>
          <t>Switchlar</t>
        </is>
      </c>
      <c r="B103" s="4" t="inlineStr">
        <is>
          <t>Boshqariladigan kommutator Ubiquiti UniFi Switch 16 PoE USW-16-POE-EU</t>
        </is>
      </c>
      <c r="C103" s="5" t="inlineStr"/>
      <c r="D103" s="5" t="n">
        <v>6118311</v>
      </c>
      <c r="E103" s="5" t="n">
        <v>5462778</v>
      </c>
      <c r="F103" s="5" t="n">
        <v>5105400</v>
      </c>
      <c r="G103" s="5" t="inlineStr">
        <is>
          <t>UniFi UBIQUITI</t>
        </is>
      </c>
      <c r="H103" s="5">
        <f>HYPERLINK("https://itrix.uz/product/185", "🔗 Mahsulot sotib olish")</f>
        <v/>
      </c>
      <c r="I103" t="inlineStr">
        <is>
          <t>4-185-187</t>
        </is>
      </c>
    </row>
    <row r="104" ht="30" customHeight="1">
      <c r="A104" s="4" t="inlineStr">
        <is>
          <t>Switchlar</t>
        </is>
      </c>
      <c r="B104" s="4" t="inlineStr">
        <is>
          <t>Boshqariladigan kommutator Ubiquiti UniFi Switch 24 PoE USW-24-POE-EU</t>
        </is>
      </c>
      <c r="C104" s="5" t="inlineStr"/>
      <c r="D104" s="5" t="n">
        <v>7725481</v>
      </c>
      <c r="E104" s="5" t="n">
        <v>6897751</v>
      </c>
      <c r="F104" s="5" t="n">
        <v>6446520</v>
      </c>
      <c r="G104" s="5" t="inlineStr">
        <is>
          <t>UniFi UBIQUITI</t>
        </is>
      </c>
      <c r="H104" s="5">
        <f>HYPERLINK("https://itrix.uz/product/186", "🔗 Mahsulot sotib olish")</f>
        <v/>
      </c>
      <c r="I104" t="inlineStr">
        <is>
          <t>4-186-188</t>
        </is>
      </c>
    </row>
    <row r="105" ht="30" customHeight="1">
      <c r="A105" s="4" t="inlineStr">
        <is>
          <t>Switchlar</t>
        </is>
      </c>
      <c r="B105" s="4" t="inlineStr">
        <is>
          <t xml:space="preserve"> L2+ darajali boshqariladigan kommutator Ruijie Reyee RG-NBS3100-8GT2SFP</t>
        </is>
      </c>
      <c r="C105" s="5" t="inlineStr"/>
      <c r="D105" s="5" t="n">
        <v>2034032</v>
      </c>
      <c r="E105" s="5" t="n">
        <v>1816100</v>
      </c>
      <c r="F105" s="5" t="inlineStr"/>
      <c r="G105" s="5" t="inlineStr">
        <is>
          <t>Reyee</t>
        </is>
      </c>
      <c r="H105" s="5">
        <f>HYPERLINK("https://itrix.uz/product/488", "🔗 Mahsulot sotib olish")</f>
        <v/>
      </c>
      <c r="I105" t="inlineStr">
        <is>
          <t>4-488-472</t>
        </is>
      </c>
    </row>
    <row r="106" ht="30" customHeight="1">
      <c r="A106" s="4" t="inlineStr">
        <is>
          <t>Switchlar</t>
        </is>
      </c>
      <c r="B106" s="4" t="inlineStr">
        <is>
          <t>H3C L2 S5170-54S-EI boshqariladigan tarmoq kommutatori — 48 ta Gbit port va 6 ta SFP port bilan</t>
        </is>
      </c>
      <c r="C106" s="5" t="inlineStr"/>
      <c r="D106" s="5" t="n">
        <v>9387840</v>
      </c>
      <c r="E106" s="5" t="n">
        <v>8382000</v>
      </c>
      <c r="F106" s="5" t="inlineStr"/>
      <c r="G106" s="5" t="inlineStr">
        <is>
          <t>H3C</t>
        </is>
      </c>
      <c r="H106" s="5">
        <f>HYPERLINK("https://itrix.uz/product/212", "🔗 Mahsulot sotib olish")</f>
        <v/>
      </c>
      <c r="I106" t="inlineStr">
        <is>
          <t>4-212-214</t>
        </is>
      </c>
    </row>
    <row r="107">
      <c r="A107" s="4" t="inlineStr">
        <is>
          <t>Switchlar</t>
        </is>
      </c>
      <c r="B107" s="4" t="inlineStr">
        <is>
          <t>H3C S5120V3-28P-LI L3 darajadagi boshqariladigan tarmoq kommutatori — 24 ta Gbit va 4 ta SFP port bilan</t>
        </is>
      </c>
      <c r="C107" s="5" t="inlineStr"/>
      <c r="D107" s="5" t="n">
        <v>4679696</v>
      </c>
      <c r="E107" s="5" t="n">
        <v>4178300</v>
      </c>
      <c r="F107" s="5" t="inlineStr"/>
      <c r="G107" s="5" t="inlineStr">
        <is>
          <t>H3C</t>
        </is>
      </c>
      <c r="H107" s="5">
        <f>HYPERLINK("https://itrix.uz/product/208", "🔗 Mahsulot sotib olish")</f>
        <v/>
      </c>
      <c r="I107" t="inlineStr">
        <is>
          <t>4-208-210</t>
        </is>
      </c>
    </row>
    <row r="108" ht="30" customHeight="1">
      <c r="A108" s="4" t="inlineStr">
        <is>
          <t>Switchlar</t>
        </is>
      </c>
      <c r="B108" s="4" t="inlineStr">
        <is>
          <t xml:space="preserve"> 2+ darajali boshqariladigan kommutator SNR-S5310G-48TX-2AC</t>
        </is>
      </c>
      <c r="C108" s="5" t="inlineStr"/>
      <c r="D108" s="5" t="n">
        <v>8077525</v>
      </c>
      <c r="E108" s="5" t="n">
        <v>7212076</v>
      </c>
      <c r="F108" s="5" t="inlineStr"/>
      <c r="G108" s="5" t="inlineStr">
        <is>
          <t>SNR</t>
        </is>
      </c>
      <c r="H108" s="5">
        <f>HYPERLINK("https://itrix.uz/product/444", "🔗 Mahsulot sotib olish")</f>
        <v/>
      </c>
      <c r="I108" t="inlineStr">
        <is>
          <t>4-444-428</t>
        </is>
      </c>
    </row>
    <row r="109">
      <c r="A109" s="4" t="inlineStr">
        <is>
          <t>Switchlar</t>
        </is>
      </c>
      <c r="B109" s="4" t="inlineStr">
        <is>
          <t>H3C L2 S5170-54S-PWR-EI boshqariladigan PoE tarmoq kommutatori — 48 ta Gbit port, 6 ta SFP port bilan</t>
        </is>
      </c>
      <c r="C109" s="5" t="inlineStr"/>
      <c r="D109" s="5" t="n">
        <v>13484352</v>
      </c>
      <c r="E109" s="5" t="n">
        <v>12039600</v>
      </c>
      <c r="F109" s="5" t="inlineStr"/>
      <c r="G109" s="5" t="inlineStr">
        <is>
          <t>H3C</t>
        </is>
      </c>
      <c r="H109" s="5">
        <f>HYPERLINK("https://itrix.uz/product/213", "🔗 Mahsulot sotib olish")</f>
        <v/>
      </c>
      <c r="I109" t="inlineStr">
        <is>
          <t>4-213-215</t>
        </is>
      </c>
    </row>
    <row r="110" ht="30" customHeight="1">
      <c r="A110" s="4" t="inlineStr">
        <is>
          <t>Switchlar</t>
        </is>
      </c>
      <c r="B110" s="4" t="inlineStr">
        <is>
          <t xml:space="preserve"> L2+ darajali boshqariladigan kommutator Ruijie Reyee RG-NBS3200-24GT4XS-NBS3200-24GT4XS</t>
        </is>
      </c>
      <c r="C110" s="5" t="inlineStr"/>
      <c r="D110" s="5" t="n">
        <v>11663680</v>
      </c>
      <c r="E110" s="5" t="n">
        <v>10414000</v>
      </c>
      <c r="F110" s="5" t="inlineStr"/>
      <c r="G110" s="5" t="inlineStr">
        <is>
          <t>Reyee</t>
        </is>
      </c>
      <c r="H110" s="5">
        <f>HYPERLINK("https://itrix.uz/product/489", "🔗 Mahsulot sotib olish")</f>
        <v/>
      </c>
      <c r="I110" t="inlineStr">
        <is>
          <t>4-489-473</t>
        </is>
      </c>
    </row>
    <row r="111" ht="30" customHeight="1">
      <c r="A111" s="4" t="inlineStr">
        <is>
          <t>Switchlar</t>
        </is>
      </c>
      <c r="B111" s="4" t="inlineStr">
        <is>
          <t xml:space="preserve"> L2+ darajali boshqariladigan PoE kommutator Ruijie Reyee RG-NBS5100-24GT4SFP-P</t>
        </is>
      </c>
      <c r="C111" s="5" t="inlineStr"/>
      <c r="D111" s="5" t="n">
        <v>9458960</v>
      </c>
      <c r="E111" s="5" t="n">
        <v>8445500</v>
      </c>
      <c r="F111" s="5" t="inlineStr"/>
      <c r="G111" s="5" t="inlineStr">
        <is>
          <t>Reyee</t>
        </is>
      </c>
      <c r="H111" s="5">
        <f>HYPERLINK("https://itrix.uz/product/493", "🔗 Mahsulot sotib olish")</f>
        <v/>
      </c>
      <c r="I111" t="inlineStr">
        <is>
          <t>4-493-477</t>
        </is>
      </c>
    </row>
    <row r="112" ht="30" customHeight="1">
      <c r="A112" s="4" t="inlineStr">
        <is>
          <t>Tarmoqqa biriktirilgan xotira (NAS) va ma'lumotlarni saqlash tizimlari (DSS)</t>
        </is>
      </c>
      <c r="B112" s="4" t="inlineStr">
        <is>
          <t xml:space="preserve"> Tarmoqli saqlash qurilmasi (NAS) Synology DS1520+</t>
        </is>
      </c>
      <c r="C112" s="5" t="inlineStr"/>
      <c r="D112" s="5" t="n">
        <v>11222736</v>
      </c>
      <c r="E112" s="5" t="n">
        <v>10020300</v>
      </c>
      <c r="F112" s="5" t="inlineStr"/>
      <c r="G112" s="5" t="inlineStr">
        <is>
          <t>Synology</t>
        </is>
      </c>
      <c r="H112" s="5">
        <f>HYPERLINK("https://itrix.uz/product/271", "🔗 Mahsulot sotib olish")</f>
        <v/>
      </c>
      <c r="I112" t="inlineStr">
        <is>
          <t>4-271-273</t>
        </is>
      </c>
    </row>
    <row r="113" ht="30" customHeight="1">
      <c r="A113" s="4" t="inlineStr">
        <is>
          <t>Switchlar</t>
        </is>
      </c>
      <c r="B113" s="4" t="inlineStr">
        <is>
          <t xml:space="preserve"> 2-darajali boshqariladigan kommutator SNR-S2962-24T-UPS</t>
        </is>
      </c>
      <c r="C113" s="5" t="inlineStr"/>
      <c r="D113" s="5" t="n">
        <v>2558755</v>
      </c>
      <c r="E113" s="5" t="n">
        <v>2284603</v>
      </c>
      <c r="F113" s="5" t="inlineStr"/>
      <c r="G113" s="5" t="inlineStr">
        <is>
          <t>SNR</t>
        </is>
      </c>
      <c r="H113" s="5">
        <f>HYPERLINK("https://itrix.uz/product/421", "🔗 Mahsulot sotib olish")</f>
        <v/>
      </c>
      <c r="I113" t="inlineStr">
        <is>
          <t>4-421-405</t>
        </is>
      </c>
    </row>
    <row r="114" ht="30" customHeight="1">
      <c r="A114" s="4" t="inlineStr">
        <is>
          <t>Switchlar</t>
        </is>
      </c>
      <c r="B114" s="4" t="inlineStr">
        <is>
          <t>HPE Aruba IOn 1960 JL806A 24G 2XGT 2SFP+ kommutatori</t>
        </is>
      </c>
      <c r="C114" s="5" t="inlineStr"/>
      <c r="D114" s="5" t="n">
        <v>12332208</v>
      </c>
      <c r="E114" s="5" t="n">
        <v>11010900</v>
      </c>
      <c r="F114" s="5" t="inlineStr"/>
      <c r="G114" s="5" t="inlineStr">
        <is>
          <t>HPE</t>
        </is>
      </c>
      <c r="H114" s="5">
        <f>HYPERLINK("https://itrix.uz/product/165", "🔗 Mahsulot sotib olish")</f>
        <v/>
      </c>
      <c r="I114" t="inlineStr">
        <is>
          <t>4-165-167</t>
        </is>
      </c>
    </row>
    <row r="115" ht="30" customHeight="1">
      <c r="A115" s="4" t="inlineStr">
        <is>
          <t>Switchlar</t>
        </is>
      </c>
      <c r="B115" s="4" t="inlineStr">
        <is>
          <t xml:space="preserve"> 2-darajali boshqariladigan kommutator SNR-S2982G-24TE-DC</t>
        </is>
      </c>
      <c r="C115" s="5" t="inlineStr"/>
      <c r="D115" s="5" t="n">
        <v>3734796</v>
      </c>
      <c r="E115" s="5" t="n">
        <v>3334639</v>
      </c>
      <c r="F115" s="5" t="inlineStr"/>
      <c r="G115" s="5" t="inlineStr">
        <is>
          <t>SNR</t>
        </is>
      </c>
      <c r="H115" s="5">
        <f>HYPERLINK("https://itrix.uz/product/427", "🔗 Mahsulot sotib olish")</f>
        <v/>
      </c>
      <c r="I115" t="inlineStr">
        <is>
          <t>4-427-411</t>
        </is>
      </c>
    </row>
    <row r="116" ht="30" customHeight="1">
      <c r="A116" s="4" t="inlineStr">
        <is>
          <t>Switchlar</t>
        </is>
      </c>
      <c r="B116" s="4" t="inlineStr">
        <is>
          <t xml:space="preserve"> 2+ darajali boshqariladigan kommutator SNR-S5210G-24TX</t>
        </is>
      </c>
      <c r="C116" s="5" t="inlineStr"/>
      <c r="D116" s="5" t="n">
        <v>3872911</v>
      </c>
      <c r="E116" s="5" t="n">
        <v>3457956</v>
      </c>
      <c r="F116" s="5" t="inlineStr"/>
      <c r="G116" s="5" t="inlineStr">
        <is>
          <t>SNR</t>
        </is>
      </c>
      <c r="H116" s="5">
        <f>HYPERLINK("https://itrix.uz/product/431", "🔗 Mahsulot sotib olish")</f>
        <v/>
      </c>
      <c r="I116" t="inlineStr">
        <is>
          <t>4-431-415</t>
        </is>
      </c>
    </row>
    <row r="117" ht="30" customHeight="1">
      <c r="A117" s="4" t="inlineStr">
        <is>
          <t>Switchlar</t>
        </is>
      </c>
      <c r="B117" s="4" t="inlineStr">
        <is>
          <t xml:space="preserve"> 2-darajali boshqariladigan kommutator SNR-S2989G-48TX</t>
        </is>
      </c>
      <c r="C117" s="5" t="inlineStr"/>
      <c r="D117" s="5" t="n">
        <v>7268464</v>
      </c>
      <c r="E117" s="5" t="n">
        <v>6489700</v>
      </c>
      <c r="F117" s="5" t="inlineStr"/>
      <c r="G117" s="5" t="inlineStr">
        <is>
          <t>SNR</t>
        </is>
      </c>
      <c r="H117" s="5">
        <f>HYPERLINK("https://itrix.uz/product/433", "🔗 Mahsulot sotib olish")</f>
        <v/>
      </c>
      <c r="I117" t="inlineStr">
        <is>
          <t>4-433-417</t>
        </is>
      </c>
    </row>
    <row r="118" ht="30" customHeight="1">
      <c r="A118" s="4" t="inlineStr">
        <is>
          <t>Switchlar</t>
        </is>
      </c>
      <c r="B118" s="4" t="inlineStr">
        <is>
          <t>Boshqariladigan kommutator HPE Aruba 2930F JL261A 24G PoE + 4SFP</t>
        </is>
      </c>
      <c r="C118" s="5" t="inlineStr"/>
      <c r="D118" s="5" t="n">
        <v>16158464</v>
      </c>
      <c r="E118" s="5" t="n">
        <v>14427200</v>
      </c>
      <c r="F118" s="5" t="inlineStr"/>
      <c r="G118" s="5" t="inlineStr">
        <is>
          <t>HPE</t>
        </is>
      </c>
      <c r="H118" s="5">
        <f>HYPERLINK("https://itrix.uz/product/160", "🔗 Mahsulot sotib olish")</f>
        <v/>
      </c>
      <c r="I118" t="inlineStr">
        <is>
          <t>4-160-10</t>
        </is>
      </c>
    </row>
    <row r="119" ht="30" customHeight="1">
      <c r="A119" s="4" t="inlineStr">
        <is>
          <t>Switchlar</t>
        </is>
      </c>
      <c r="B119" s="4" t="inlineStr">
        <is>
          <t xml:space="preserve"> 2+ darajali boshqariladigan kommutator SNR-S5210G-8TX</t>
        </is>
      </c>
      <c r="C119" s="5" t="inlineStr"/>
      <c r="D119" s="5" t="n">
        <v>2628026</v>
      </c>
      <c r="E119" s="5" t="n">
        <v>2346452</v>
      </c>
      <c r="F119" s="5" t="inlineStr"/>
      <c r="G119" s="5" t="inlineStr">
        <is>
          <t>SNR</t>
        </is>
      </c>
      <c r="H119" s="5">
        <f>HYPERLINK("https://itrix.uz/product/439", "🔗 Mahsulot sotib olish")</f>
        <v/>
      </c>
      <c r="I119" t="inlineStr">
        <is>
          <t>4-439-423</t>
        </is>
      </c>
    </row>
    <row r="120" ht="30" customHeight="1">
      <c r="A120" s="4" t="inlineStr">
        <is>
          <t>Switchlar</t>
        </is>
      </c>
      <c r="B120" s="4" t="inlineStr">
        <is>
          <t xml:space="preserve"> 2+ darajali boshqariladigan kommutator SNR-S5210X-8F</t>
        </is>
      </c>
      <c r="C120" s="5" t="inlineStr"/>
      <c r="D120" s="5" t="n">
        <v>3596254</v>
      </c>
      <c r="E120" s="5" t="n">
        <v>3210941</v>
      </c>
      <c r="F120" s="5" t="inlineStr"/>
      <c r="G120" s="5" t="inlineStr">
        <is>
          <t>SNR</t>
        </is>
      </c>
      <c r="H120" s="5">
        <f>HYPERLINK("https://itrix.uz/product/440", "🔗 Mahsulot sotib olish")</f>
        <v/>
      </c>
      <c r="I120" t="inlineStr">
        <is>
          <t>4-440-424</t>
        </is>
      </c>
    </row>
    <row r="121" ht="30" customHeight="1">
      <c r="A121" s="4" t="inlineStr">
        <is>
          <t>Switchlar</t>
        </is>
      </c>
      <c r="B121" s="4" t="inlineStr">
        <is>
          <t xml:space="preserve"> 2+ darajali boshqariladigan kommutator SNR-S5310G-48TX</t>
        </is>
      </c>
      <c r="C121" s="5" t="inlineStr"/>
      <c r="D121" s="5" t="n">
        <v>6912864</v>
      </c>
      <c r="E121" s="5" t="n">
        <v>6172200</v>
      </c>
      <c r="F121" s="5" t="inlineStr"/>
      <c r="G121" s="5" t="inlineStr">
        <is>
          <t>SNR</t>
        </is>
      </c>
      <c r="H121" s="5">
        <f>HYPERLINK("https://itrix.uz/product/442", "🔗 Mahsulot sotib olish")</f>
        <v/>
      </c>
      <c r="I121" t="inlineStr">
        <is>
          <t>4-442-426</t>
        </is>
      </c>
    </row>
    <row r="122" ht="30" customHeight="1">
      <c r="A122" s="4" t="inlineStr">
        <is>
          <t>Switchlar</t>
        </is>
      </c>
      <c r="B122" s="4" t="inlineStr">
        <is>
          <t xml:space="preserve"> 2+ darajali boshqariladigan kommutator SNR-S5210G-24TX-UPS</t>
        </is>
      </c>
      <c r="C122" s="5" t="inlineStr"/>
      <c r="D122" s="5" t="n">
        <v>4426082</v>
      </c>
      <c r="E122" s="5" t="n">
        <v>3951859</v>
      </c>
      <c r="F122" s="5" t="inlineStr"/>
      <c r="G122" s="5" t="inlineStr">
        <is>
          <t>SNR</t>
        </is>
      </c>
      <c r="H122" s="5">
        <f>HYPERLINK("https://itrix.uz/product/448", "🔗 Mahsulot sotib olish")</f>
        <v/>
      </c>
      <c r="I122" t="inlineStr">
        <is>
          <t>4-448-432</t>
        </is>
      </c>
    </row>
    <row r="123" ht="30" customHeight="1">
      <c r="A123" s="4" t="inlineStr">
        <is>
          <t>Switchlar</t>
        </is>
      </c>
      <c r="B123" s="4" t="inlineStr">
        <is>
          <t xml:space="preserve"> 2+ darajali boshqariladigan kommutator SNR-S5210G-24FX</t>
        </is>
      </c>
      <c r="C123" s="5" t="inlineStr"/>
      <c r="D123" s="5" t="n">
        <v>5945632</v>
      </c>
      <c r="E123" s="5" t="n">
        <v>5308600</v>
      </c>
      <c r="F123" s="5" t="inlineStr"/>
      <c r="G123" s="5" t="inlineStr">
        <is>
          <t>SNR</t>
        </is>
      </c>
      <c r="H123" s="5">
        <f>HYPERLINK("https://itrix.uz/product/449", "🔗 Mahsulot sotib olish")</f>
        <v/>
      </c>
      <c r="I123" t="inlineStr">
        <is>
          <t>4-449-433</t>
        </is>
      </c>
    </row>
    <row r="124" ht="30" customHeight="1">
      <c r="A124" s="4" t="inlineStr">
        <is>
          <t>Switchlar</t>
        </is>
      </c>
      <c r="B124" s="4" t="inlineStr">
        <is>
          <t xml:space="preserve"> Boshqarilmaydigan POE kommutator SNR-S1908GP-2S</t>
        </is>
      </c>
      <c r="C124" s="5" t="inlineStr"/>
      <c r="D124" s="5" t="n">
        <v>1798056</v>
      </c>
      <c r="E124" s="5" t="n">
        <v>1605407</v>
      </c>
      <c r="F124" s="5" t="inlineStr"/>
      <c r="G124" s="5" t="inlineStr">
        <is>
          <t>SNR</t>
        </is>
      </c>
      <c r="H124" s="5">
        <f>HYPERLINK("https://itrix.uz/product/483", "🔗 Mahsulot sotib olish")</f>
        <v/>
      </c>
      <c r="I124" t="inlineStr">
        <is>
          <t>4-483-467</t>
        </is>
      </c>
    </row>
    <row r="125" ht="30" customHeight="1">
      <c r="A125" s="4" t="inlineStr">
        <is>
          <t>Switchlar</t>
        </is>
      </c>
      <c r="B125" s="4" t="inlineStr">
        <is>
          <t xml:space="preserve"> 3-darajali boshqariladigan kommutator SNR-S2995G-24TX-RPS</t>
        </is>
      </c>
      <c r="C125" s="5" t="inlineStr"/>
      <c r="D125" s="5" t="n">
        <v>8249920</v>
      </c>
      <c r="E125" s="5" t="n">
        <v>7366000</v>
      </c>
      <c r="F125" s="5" t="inlineStr"/>
      <c r="G125" s="5" t="inlineStr">
        <is>
          <t>SNR</t>
        </is>
      </c>
      <c r="H125" s="5">
        <f>HYPERLINK("https://itrix.uz/product/451", "🔗 Mahsulot sotib olish")</f>
        <v/>
      </c>
      <c r="I125" t="inlineStr">
        <is>
          <t>4-451-435</t>
        </is>
      </c>
    </row>
    <row r="126" ht="30" customHeight="1">
      <c r="A126" s="4" t="inlineStr">
        <is>
          <t>Switchlar</t>
        </is>
      </c>
      <c r="B126" s="4" t="inlineStr">
        <is>
          <t xml:space="preserve"> 3-darajali boshqariladigan kommutator SNR-S3850G-48TX</t>
        </is>
      </c>
      <c r="C126" s="5" t="inlineStr"/>
      <c r="D126" s="5" t="n">
        <v>22189440</v>
      </c>
      <c r="E126" s="5" t="n">
        <v>19812000</v>
      </c>
      <c r="F126" s="5" t="inlineStr"/>
      <c r="G126" s="5" t="inlineStr">
        <is>
          <t>SNR</t>
        </is>
      </c>
      <c r="H126" s="5">
        <f>HYPERLINK("https://itrix.uz/product/454", "🔗 Mahsulot sotib olish")</f>
        <v/>
      </c>
      <c r="I126" t="inlineStr">
        <is>
          <t>4-454-438</t>
        </is>
      </c>
    </row>
    <row r="127" ht="30" customHeight="1">
      <c r="A127" s="4" t="inlineStr">
        <is>
          <t>Switchlar</t>
        </is>
      </c>
      <c r="B127" s="4" t="inlineStr">
        <is>
          <t xml:space="preserve"> 3-darajali boshqariladigan kommutator SNR-S4350X-48FC</t>
        </is>
      </c>
      <c r="C127" s="5" t="inlineStr"/>
      <c r="D127" s="5" t="n">
        <v>117348000</v>
      </c>
      <c r="E127" s="5" t="n">
        <v>104775000</v>
      </c>
      <c r="F127" s="5" t="inlineStr"/>
      <c r="G127" s="5" t="inlineStr">
        <is>
          <t>SNR</t>
        </is>
      </c>
      <c r="H127" s="5">
        <f>HYPERLINK("https://itrix.uz/product/455", "🔗 Mahsulot sotib olish")</f>
        <v/>
      </c>
      <c r="I127" t="inlineStr">
        <is>
          <t>4-455-439</t>
        </is>
      </c>
    </row>
    <row r="128" ht="30" customHeight="1">
      <c r="A128" s="4" t="inlineStr">
        <is>
          <t>Switchlar</t>
        </is>
      </c>
      <c r="B128" s="4" t="inlineStr">
        <is>
          <t>3-darajali boshqariladigan kommutator SNR-S2995G-48TX</t>
        </is>
      </c>
      <c r="C128" s="5" t="inlineStr"/>
      <c r="D128" s="5" t="n">
        <v>18036032</v>
      </c>
      <c r="E128" s="5" t="n">
        <v>16103600</v>
      </c>
      <c r="F128" s="5" t="inlineStr"/>
      <c r="G128" s="5" t="inlineStr">
        <is>
          <t>SNR</t>
        </is>
      </c>
      <c r="H128" s="5">
        <f>HYPERLINK("https://itrix.uz/product/457", "🔗 Mahsulot sotib olish")</f>
        <v/>
      </c>
      <c r="I128" t="inlineStr">
        <is>
          <t>4-457-441</t>
        </is>
      </c>
    </row>
    <row r="129" ht="30" customHeight="1">
      <c r="A129" s="4" t="inlineStr">
        <is>
          <t>Switchlar</t>
        </is>
      </c>
      <c r="B129" s="4" t="inlineStr">
        <is>
          <t xml:space="preserve"> 3-darajali boshqariladigan kommutator SNR-S2995G-48TX-RPS</t>
        </is>
      </c>
      <c r="C129" s="5" t="inlineStr"/>
      <c r="D129" s="5" t="n">
        <v>10781792</v>
      </c>
      <c r="E129" s="5" t="n">
        <v>9626600</v>
      </c>
      <c r="F129" s="5" t="inlineStr"/>
      <c r="G129" s="5" t="inlineStr">
        <is>
          <t>SNR</t>
        </is>
      </c>
      <c r="H129" s="5">
        <f>HYPERLINK("https://itrix.uz/product/458", "🔗 Mahsulot sotib olish")</f>
        <v/>
      </c>
      <c r="I129" t="inlineStr">
        <is>
          <t>4-458-442</t>
        </is>
      </c>
    </row>
    <row r="130" ht="30" customHeight="1">
      <c r="A130" s="4" t="inlineStr">
        <is>
          <t>Switchlar</t>
        </is>
      </c>
      <c r="B130" s="4" t="inlineStr">
        <is>
          <t xml:space="preserve"> 3-darajali boshqariladigan kommutator SNR-S300G-24FX (quvvat bloklarisiz)</t>
        </is>
      </c>
      <c r="C130" s="5" t="inlineStr"/>
      <c r="D130" s="5" t="n">
        <v>37110416</v>
      </c>
      <c r="E130" s="5" t="n">
        <v>33134300</v>
      </c>
      <c r="F130" s="5" t="inlineStr"/>
      <c r="G130" s="5" t="inlineStr">
        <is>
          <t>SNR</t>
        </is>
      </c>
      <c r="H130" s="5">
        <f>HYPERLINK("https://itrix.uz/product/459", "🔗 Mahsulot sotib olish")</f>
        <v/>
      </c>
      <c r="I130" t="inlineStr">
        <is>
          <t>4-459-443</t>
        </is>
      </c>
    </row>
    <row r="131" ht="30" customHeight="1">
      <c r="A131" s="4" t="inlineStr">
        <is>
          <t>Switchlar</t>
        </is>
      </c>
      <c r="B131" s="4" t="inlineStr">
        <is>
          <t xml:space="preserve"> 3-darajali boshqariladigan kommutator SNR-S4650X-48FQ</t>
        </is>
      </c>
      <c r="C131" s="5" t="inlineStr"/>
      <c r="D131" s="5" t="n">
        <v>152908000</v>
      </c>
      <c r="E131" s="5" t="n">
        <v>136525000</v>
      </c>
      <c r="F131" s="5" t="inlineStr"/>
      <c r="G131" s="5" t="inlineStr">
        <is>
          <t>SNR</t>
        </is>
      </c>
      <c r="H131" s="5">
        <f>HYPERLINK("https://itrix.uz/product/462", "🔗 Mahsulot sotib olish")</f>
        <v/>
      </c>
      <c r="I131" t="inlineStr">
        <is>
          <t>4-462-446</t>
        </is>
      </c>
    </row>
    <row r="132" ht="30" customHeight="1">
      <c r="A132" s="4" t="inlineStr">
        <is>
          <t>Switchlar</t>
        </is>
      </c>
      <c r="B132" s="4" t="inlineStr">
        <is>
          <t xml:space="preserve"> 3-darajali boshqariladigan kommutator SNR-S300X-24FQ</t>
        </is>
      </c>
      <c r="C132" s="5" t="inlineStr"/>
      <c r="D132" s="5" t="n">
        <v>62941200</v>
      </c>
      <c r="E132" s="5" t="n">
        <v>56197500</v>
      </c>
      <c r="F132" s="5" t="inlineStr"/>
      <c r="G132" s="5" t="inlineStr">
        <is>
          <t>SNR</t>
        </is>
      </c>
      <c r="H132" s="5">
        <f>HYPERLINK("https://itrix.uz/product/465", "🔗 Mahsulot sotib olish")</f>
        <v/>
      </c>
      <c r="I132" t="inlineStr">
        <is>
          <t>4-465-449</t>
        </is>
      </c>
    </row>
    <row r="133" ht="30" customHeight="1">
      <c r="A133" s="4" t="inlineStr">
        <is>
          <t>Switchlar</t>
        </is>
      </c>
      <c r="B133" s="4" t="inlineStr">
        <is>
          <t xml:space="preserve"> 3-darajali boshqariladigan kommutator SNR-S400X-24FC-2AC</t>
        </is>
      </c>
      <c r="C133" s="5" t="inlineStr"/>
      <c r="D133" s="5" t="n">
        <v>40040560</v>
      </c>
      <c r="E133" s="5" t="n">
        <v>35750500</v>
      </c>
      <c r="F133" s="5" t="inlineStr"/>
      <c r="G133" s="5" t="inlineStr">
        <is>
          <t>SNR</t>
        </is>
      </c>
      <c r="H133" s="5">
        <f>HYPERLINK("https://itrix.uz/product/467", "🔗 Mahsulot sotib olish")</f>
        <v/>
      </c>
      <c r="I133" t="inlineStr">
        <is>
          <t>4-467-451</t>
        </is>
      </c>
    </row>
    <row r="134" ht="30" customHeight="1">
      <c r="A134" s="4" t="inlineStr">
        <is>
          <t>Telekommunikatsiya shkaflari</t>
        </is>
      </c>
      <c r="B134" s="4" t="inlineStr">
        <is>
          <t>Devoriy termo shkaf 400x400x250 mm, IP65 (isitish, iqlim nazorati)</t>
        </is>
      </c>
      <c r="C134" s="5" t="inlineStr"/>
      <c r="D134" s="5" t="n">
        <v>3828247</v>
      </c>
      <c r="E134" s="5" t="n">
        <v>3418078</v>
      </c>
      <c r="F134" s="5" t="inlineStr"/>
      <c r="G134" s="5" t="inlineStr">
        <is>
          <t>SNR</t>
        </is>
      </c>
      <c r="H134" s="5">
        <f>HYPERLINK("https://itrix.uz/product/898", "🔗 Mahsulot sotib olish")</f>
        <v/>
      </c>
      <c r="I134" t="inlineStr">
        <is>
          <t>4-898-788</t>
        </is>
      </c>
    </row>
    <row r="135" ht="30" customHeight="1">
      <c r="A135" s="4" t="inlineStr">
        <is>
          <t>Switchlar</t>
        </is>
      </c>
      <c r="B135" s="4" t="inlineStr">
        <is>
          <t xml:space="preserve"> 3-darajali boshqariladigan kommutator SNR-S2995G-48FX</t>
        </is>
      </c>
      <c r="C135" s="5" t="inlineStr"/>
      <c r="D135" s="5" t="n">
        <v>15214986</v>
      </c>
      <c r="E135" s="5" t="n">
        <v>13584809</v>
      </c>
      <c r="F135" s="5" t="inlineStr"/>
      <c r="G135" s="5" t="inlineStr">
        <is>
          <t>SNR</t>
        </is>
      </c>
      <c r="H135" s="5">
        <f>HYPERLINK("https://itrix.uz/product/469", "🔗 Mahsulot sotib olish")</f>
        <v/>
      </c>
      <c r="I135" t="inlineStr">
        <is>
          <t>4-469-453</t>
        </is>
      </c>
    </row>
    <row r="136" ht="30" customHeight="1">
      <c r="A136" s="4" t="inlineStr">
        <is>
          <t>Switchlar</t>
        </is>
      </c>
      <c r="B136" s="4" t="inlineStr">
        <is>
          <t xml:space="preserve"> 3-darajali boshqariladigan kommutator SNR-S2995G-24FX</t>
        </is>
      </c>
      <c r="C136" s="5" t="inlineStr"/>
      <c r="D136" s="5" t="n">
        <v>8298993</v>
      </c>
      <c r="E136" s="5" t="n">
        <v>7409815</v>
      </c>
      <c r="F136" s="5" t="inlineStr"/>
      <c r="G136" s="5" t="inlineStr">
        <is>
          <t>SNR</t>
        </is>
      </c>
      <c r="H136" s="5">
        <f>HYPERLINK("https://itrix.uz/product/470", "🔗 Mahsulot sotib olish")</f>
        <v/>
      </c>
      <c r="I136" t="inlineStr">
        <is>
          <t>4-470-454</t>
        </is>
      </c>
    </row>
    <row r="137" ht="30" customHeight="1">
      <c r="A137" s="4" t="inlineStr">
        <is>
          <t>Switchlar</t>
        </is>
      </c>
      <c r="B137" s="4" t="inlineStr">
        <is>
          <t xml:space="preserve"> 3-darajali boshqariladigan POE kommutator SNR-S2995G-24TX-POE</t>
        </is>
      </c>
      <c r="C137" s="5" t="inlineStr"/>
      <c r="D137" s="5" t="n">
        <v>14684573</v>
      </c>
      <c r="E137" s="5" t="n">
        <v>13111226</v>
      </c>
      <c r="F137" s="5" t="n">
        <v>11318875</v>
      </c>
      <c r="G137" s="5" t="inlineStr">
        <is>
          <t>SNR</t>
        </is>
      </c>
      <c r="H137" s="5">
        <f>HYPERLINK("https://itrix.uz/product/477", "🔗 Mahsulot sotib olish")</f>
        <v/>
      </c>
      <c r="I137" t="inlineStr">
        <is>
          <t>4-477-461</t>
        </is>
      </c>
    </row>
    <row r="138" ht="30" customHeight="1">
      <c r="A138" s="4" t="inlineStr">
        <is>
          <t>Switchlar</t>
        </is>
      </c>
      <c r="B138" s="4" t="inlineStr">
        <is>
          <t xml:space="preserve"> 2-darajali boshqariladigan kommutator SNR-S2990X-24FQ</t>
        </is>
      </c>
      <c r="C138" s="5" t="inlineStr"/>
      <c r="D138" s="5" t="n">
        <v>38660832</v>
      </c>
      <c r="E138" s="5" t="n">
        <v>34518600</v>
      </c>
      <c r="F138" s="5" t="inlineStr"/>
      <c r="G138" s="5" t="inlineStr">
        <is>
          <t>SNR</t>
        </is>
      </c>
      <c r="H138" s="5">
        <f>HYPERLINK("https://itrix.uz/product/466", "🔗 Mahsulot sotib olish")</f>
        <v/>
      </c>
      <c r="I138" t="inlineStr">
        <is>
          <t>4-466-450</t>
        </is>
      </c>
    </row>
    <row r="139" ht="30" customHeight="1">
      <c r="A139" s="4" t="inlineStr">
        <is>
          <t>Switchlar</t>
        </is>
      </c>
      <c r="B139" s="4" t="inlineStr">
        <is>
          <t xml:space="preserve"> 2-darajali boshqariladigan POE kommutator SNR-S2985G-24T-POE-E</t>
        </is>
      </c>
      <c r="C139" s="5" t="inlineStr"/>
      <c r="D139" s="5" t="n">
        <v>9889663</v>
      </c>
      <c r="E139" s="5" t="n">
        <v>8830056</v>
      </c>
      <c r="F139" s="5" t="inlineStr"/>
      <c r="G139" s="5" t="inlineStr">
        <is>
          <t>SNR</t>
        </is>
      </c>
      <c r="H139" s="5">
        <f>HYPERLINK("https://itrix.uz/product/474", "🔗 Mahsulot sotib olish")</f>
        <v/>
      </c>
      <c r="I139" t="inlineStr">
        <is>
          <t>4-474-458</t>
        </is>
      </c>
    </row>
    <row r="140" ht="30" customHeight="1">
      <c r="A140" s="4" t="inlineStr">
        <is>
          <t>Switchlar</t>
        </is>
      </c>
      <c r="B140" s="4" t="inlineStr">
        <is>
          <t xml:space="preserve"> 2-darajali boshqariladigan PoE kommutator SNR-S2989G-24TX-POE-2AC</t>
        </is>
      </c>
      <c r="C140" s="5" t="inlineStr"/>
      <c r="D140" s="5" t="n">
        <v>8818880</v>
      </c>
      <c r="E140" s="5" t="n">
        <v>7874000</v>
      </c>
      <c r="F140" s="5" t="inlineStr"/>
      <c r="G140" s="5" t="inlineStr">
        <is>
          <t>SNR</t>
        </is>
      </c>
      <c r="H140" s="5">
        <f>HYPERLINK("https://itrix.uz/product/478", "🔗 Mahsulot sotib olish")</f>
        <v/>
      </c>
      <c r="I140" t="inlineStr">
        <is>
          <t>4-478-462</t>
        </is>
      </c>
    </row>
    <row r="141" ht="30" customHeight="1">
      <c r="A141" s="4" t="inlineStr">
        <is>
          <t>Switchlar</t>
        </is>
      </c>
      <c r="B141" s="4" t="inlineStr">
        <is>
          <t xml:space="preserve"> L2+ darajali boshqariladigan kommutator Ruijie Reyee RG-NBS3200-48GT4XS</t>
        </is>
      </c>
      <c r="C141" s="5" t="inlineStr"/>
      <c r="D141" s="5" t="n">
        <v>10739120</v>
      </c>
      <c r="E141" s="5" t="n">
        <v>9588500</v>
      </c>
      <c r="F141" s="5" t="inlineStr"/>
      <c r="G141" s="5" t="inlineStr">
        <is>
          <t>Reyee</t>
        </is>
      </c>
      <c r="H141" s="5">
        <f>HYPERLINK("https://itrix.uz/product/490", "🔗 Mahsulot sotib olish")</f>
        <v/>
      </c>
      <c r="I141" t="inlineStr">
        <is>
          <t>4-490-474</t>
        </is>
      </c>
    </row>
    <row r="142" ht="30" customHeight="1">
      <c r="A142" s="4" t="inlineStr">
        <is>
          <t>Switchlar</t>
        </is>
      </c>
      <c r="B142" s="4" t="inlineStr">
        <is>
          <t>SNR-S2995G-24TX</t>
        </is>
      </c>
      <c r="C142" s="5" t="inlineStr"/>
      <c r="D142" s="5" t="n">
        <v>6087872</v>
      </c>
      <c r="E142" s="5" t="n">
        <v>5435600</v>
      </c>
      <c r="F142" s="5" t="n">
        <v>5080000</v>
      </c>
      <c r="G142" s="5" t="inlineStr">
        <is>
          <t>SNR</t>
        </is>
      </c>
      <c r="H142" s="5">
        <f>HYPERLINK("https://itrix.uz/product/450", "🔗 Mahsulot sotib olish")</f>
        <v/>
      </c>
      <c r="I142" t="inlineStr">
        <is>
          <t>4-450-434</t>
        </is>
      </c>
    </row>
    <row r="143" ht="30" customHeight="1">
      <c r="A143" s="4" t="inlineStr">
        <is>
          <t>Switchlar</t>
        </is>
      </c>
      <c r="B143" s="4" t="inlineStr">
        <is>
          <t xml:space="preserve"> SNR-S2995G-12FX 3-darajali boshqariladigan kommutator</t>
        </is>
      </c>
      <c r="C143" s="5" t="inlineStr"/>
      <c r="D143" s="5" t="n">
        <v>4841138</v>
      </c>
      <c r="E143" s="5" t="n">
        <v>4322445</v>
      </c>
      <c r="F143" s="5" t="inlineStr"/>
      <c r="G143" s="5" t="inlineStr">
        <is>
          <t>SNR</t>
        </is>
      </c>
      <c r="H143" s="5">
        <f>HYPERLINK("https://itrix.uz/product/600", "🔗 Mahsulot sotib olish")</f>
        <v/>
      </c>
      <c r="I143" t="inlineStr">
        <is>
          <t>4-600-555</t>
        </is>
      </c>
    </row>
    <row r="144" ht="30" customHeight="1">
      <c r="A144" s="4" t="inlineStr">
        <is>
          <t>Switchlar</t>
        </is>
      </c>
      <c r="B144" s="4" t="inlineStr">
        <is>
          <t>Boshqariladigan kommutator HPE Aruba 6100 JL677A 24G 4SFP+ PoE 370W</t>
        </is>
      </c>
      <c r="C144" s="5" t="inlineStr"/>
      <c r="D144" s="5" t="n">
        <v>41406064</v>
      </c>
      <c r="E144" s="5" t="n">
        <v>36969700</v>
      </c>
      <c r="F144" s="5" t="inlineStr"/>
      <c r="G144" s="5" t="inlineStr">
        <is>
          <t>HPE</t>
        </is>
      </c>
      <c r="H144" s="5">
        <f>HYPERLINK("https://itrix.uz/product/162", "🔗 Mahsulot sotib olish")</f>
        <v/>
      </c>
      <c r="I144" t="inlineStr">
        <is>
          <t>4-162-108</t>
        </is>
      </c>
    </row>
    <row r="145" ht="30" customHeight="1">
      <c r="A145" s="4" t="inlineStr">
        <is>
          <t>Switchlar</t>
        </is>
      </c>
      <c r="B145" s="4" t="inlineStr">
        <is>
          <t>Boshqariladigan kommutator HPE Aruba 2930F JL262A 48G PoE+ 4SFP</t>
        </is>
      </c>
      <c r="C145" s="5" t="inlineStr"/>
      <c r="D145" s="5" t="n">
        <v>28305760</v>
      </c>
      <c r="E145" s="5" t="n">
        <v>25273000</v>
      </c>
      <c r="F145" s="5" t="inlineStr"/>
      <c r="G145" s="5" t="inlineStr">
        <is>
          <t>HPE</t>
        </is>
      </c>
      <c r="H145" s="5">
        <f>HYPERLINK("https://itrix.uz/product/170", "🔗 Mahsulot sotib olish")</f>
        <v/>
      </c>
      <c r="I145" t="inlineStr">
        <is>
          <t>4-170-172</t>
        </is>
      </c>
    </row>
    <row r="146" ht="30" customHeight="1">
      <c r="A146" s="4" t="inlineStr">
        <is>
          <t>Switchlar</t>
        </is>
      </c>
      <c r="B146" s="4" t="inlineStr">
        <is>
          <t>Boshqariladigan kommutator Ubiquiti EdgeSwitch 8 PoE ES-8-150W</t>
        </is>
      </c>
      <c r="C146" s="5" t="inlineStr"/>
      <c r="D146" s="5" t="n">
        <v>3954272</v>
      </c>
      <c r="E146" s="5" t="n">
        <v>3530600</v>
      </c>
      <c r="F146" s="5" t="inlineStr"/>
      <c r="G146" s="5" t="inlineStr">
        <is>
          <t>UniFi UBIQUITI</t>
        </is>
      </c>
      <c r="H146" s="5">
        <f>HYPERLINK("https://itrix.uz/product/179", "🔗 Mahsulot sotib olish")</f>
        <v/>
      </c>
      <c r="I146" t="inlineStr">
        <is>
          <t>4-179-181</t>
        </is>
      </c>
    </row>
    <row r="147">
      <c r="A147" s="4" t="inlineStr">
        <is>
          <t>Switchlar</t>
        </is>
      </c>
      <c r="B147" s="4" t="inlineStr">
        <is>
          <t>H3C L2 S5170-28S-HPWR-EI boshqariladigan PoE tarmoq kommutatori — 24 ta Gbit port, 4 ta SFP port bilan</t>
        </is>
      </c>
      <c r="C147" s="5" t="inlineStr"/>
      <c r="D147" s="5" t="n">
        <v>8577072</v>
      </c>
      <c r="E147" s="5" t="n">
        <v>7658100</v>
      </c>
      <c r="F147" s="5" t="inlineStr"/>
      <c r="G147" s="5" t="inlineStr">
        <is>
          <t>H3C</t>
        </is>
      </c>
      <c r="H147" s="5">
        <f>HYPERLINK("https://itrix.uz/product/211", "🔗 Mahsulot sotib olish")</f>
        <v/>
      </c>
      <c r="I147" t="inlineStr">
        <is>
          <t>4-211-213</t>
        </is>
      </c>
    </row>
    <row r="148" ht="30" customHeight="1">
      <c r="A148" s="4" t="inlineStr">
        <is>
          <t>Switchlar</t>
        </is>
      </c>
      <c r="B148" s="4" t="inlineStr">
        <is>
          <t>Zyxel GS1008HP 8-portli tarmoq kommutatori — 8 ta gigabit port va PoE funksiyasi bilan</t>
        </is>
      </c>
      <c r="C148" s="5" t="inlineStr"/>
      <c r="D148" s="5" t="n">
        <v>1322832</v>
      </c>
      <c r="E148" s="5" t="n">
        <v>1181100</v>
      </c>
      <c r="F148" s="5" t="inlineStr"/>
      <c r="G148" s="5" t="inlineStr">
        <is>
          <t>Zyxel</t>
        </is>
      </c>
      <c r="H148" s="5">
        <f>HYPERLINK("https://itrix.uz/product/220", "🔗 Mahsulot sotib olish")</f>
        <v/>
      </c>
      <c r="I148" t="inlineStr">
        <is>
          <t>4-220-222</t>
        </is>
      </c>
    </row>
    <row r="149">
      <c r="A149" s="4" t="inlineStr">
        <is>
          <t>Switchlar</t>
        </is>
      </c>
      <c r="B149" s="4" t="inlineStr">
        <is>
          <t>Zyxel GS1300-10HP tarmoq kommutatori — 8 ta gigabit port, 1 ta SFP port va PoE qo‘llab-quvvatlovi bilan</t>
        </is>
      </c>
      <c r="C149" s="5" t="inlineStr"/>
      <c r="D149" s="5" t="n">
        <v>3726688</v>
      </c>
      <c r="E149" s="5" t="n">
        <v>3327400</v>
      </c>
      <c r="F149" s="5" t="inlineStr"/>
      <c r="G149" s="5" t="inlineStr">
        <is>
          <t>Zyxel</t>
        </is>
      </c>
      <c r="H149" s="5">
        <f>HYPERLINK("https://itrix.uz/product/221", "🔗 Mahsulot sotib olish")</f>
        <v/>
      </c>
      <c r="I149" t="inlineStr">
        <is>
          <t>4-221-223</t>
        </is>
      </c>
    </row>
    <row r="150" ht="30" customHeight="1">
      <c r="A150" s="4" t="inlineStr">
        <is>
          <t>Switchlar</t>
        </is>
      </c>
      <c r="B150" s="4" t="inlineStr">
        <is>
          <t>Zyxel GS1350-12HP tarmoq kommutatori — 10 ta gigabit port, 2 ta SFP port va PoE funksiyasi bilan</t>
        </is>
      </c>
      <c r="C150" s="5" t="inlineStr"/>
      <c r="D150" s="5" t="n">
        <v>5177536</v>
      </c>
      <c r="E150" s="5" t="n">
        <v>4622800</v>
      </c>
      <c r="F150" s="5" t="inlineStr"/>
      <c r="G150" s="5" t="inlineStr">
        <is>
          <t>Zyxel</t>
        </is>
      </c>
      <c r="H150" s="5">
        <f>HYPERLINK("https://itrix.uz/product/222", "🔗 Mahsulot sotib olish")</f>
        <v/>
      </c>
      <c r="I150" t="inlineStr">
        <is>
          <t>4-222-224</t>
        </is>
      </c>
    </row>
    <row r="151" ht="30" customHeight="1">
      <c r="A151" s="4" t="inlineStr">
        <is>
          <t>Switchlar</t>
        </is>
      </c>
      <c r="B151" s="4" t="inlineStr">
        <is>
          <t>Zyxel GS1350-18HP tarmoq kommutatori — 16 ta gigabit port, 2 ta SFP port va PoE funksiyasi bilan</t>
        </is>
      </c>
      <c r="C151" s="5" t="inlineStr"/>
      <c r="D151" s="5" t="n">
        <v>7624064</v>
      </c>
      <c r="E151" s="5" t="n">
        <v>6807200</v>
      </c>
      <c r="F151" s="5" t="inlineStr"/>
      <c r="G151" s="5" t="inlineStr">
        <is>
          <t>Zyxel</t>
        </is>
      </c>
      <c r="H151" s="5">
        <f>HYPERLINK("https://itrix.uz/product/223", "🔗 Mahsulot sotib olish")</f>
        <v/>
      </c>
      <c r="I151" t="inlineStr">
        <is>
          <t>4-223-225</t>
        </is>
      </c>
    </row>
    <row r="152">
      <c r="A152" s="4" t="inlineStr">
        <is>
          <t>Switchlar</t>
        </is>
      </c>
      <c r="B152" s="4" t="inlineStr">
        <is>
          <t>Zyxel GS1350-6HP 5G Zyxel GS1350-6HP boshqariladigan tarmoq kommutatori — 5 ta gigabit port, 1 ta SFP port va PoE funksiyasi bilanPoE Switch</t>
        </is>
      </c>
      <c r="C152" s="5" t="inlineStr"/>
      <c r="D152" s="5" t="n">
        <v>2773680</v>
      </c>
      <c r="E152" s="5" t="n">
        <v>2476500</v>
      </c>
      <c r="F152" s="5" t="inlineStr"/>
      <c r="G152" s="5" t="inlineStr">
        <is>
          <t>Zyxel</t>
        </is>
      </c>
      <c r="H152" s="5">
        <f>HYPERLINK("https://itrix.uz/product/225", "🔗 Mahsulot sotib olish")</f>
        <v/>
      </c>
      <c r="I152" t="inlineStr">
        <is>
          <t>4-225-227</t>
        </is>
      </c>
    </row>
    <row r="153" ht="30" customHeight="1">
      <c r="A153" s="4" t="inlineStr">
        <is>
          <t>Switchlar</t>
        </is>
      </c>
      <c r="B153" s="4" t="inlineStr">
        <is>
          <t>Dell EMC Networking N2248PX-ON boshqariladigan kommutatori</t>
        </is>
      </c>
      <c r="C153" s="5" t="inlineStr"/>
      <c r="D153" s="5" t="n">
        <v>21336000</v>
      </c>
      <c r="E153" s="5" t="n">
        <v>19050000</v>
      </c>
      <c r="F153" s="5" t="inlineStr"/>
      <c r="G153" s="5" t="inlineStr"/>
      <c r="H153" s="5">
        <f>HYPERLINK("https://itrix.uz/product/575", "🔗 Mahsulot sotib olish")</f>
        <v/>
      </c>
      <c r="I153" t="inlineStr">
        <is>
          <t>4-575-535</t>
        </is>
      </c>
    </row>
    <row r="154" ht="30" customHeight="1">
      <c r="A154" s="4" t="inlineStr">
        <is>
          <t>Switchlar</t>
        </is>
      </c>
      <c r="B154" s="4" t="inlineStr">
        <is>
          <t>2-darajali boshqariladigan kommutator SNR-S2982G-24TE-REF</t>
        </is>
      </c>
      <c r="C154" s="5" t="inlineStr"/>
      <c r="D154" s="5" t="n">
        <v>3314192</v>
      </c>
      <c r="E154" s="5" t="n">
        <v>2959100</v>
      </c>
      <c r="F154" s="5" t="inlineStr"/>
      <c r="G154" s="5" t="inlineStr">
        <is>
          <t>SNR</t>
        </is>
      </c>
      <c r="H154" s="5">
        <f>HYPERLINK("https://itrix.uz/product/818", "🔗 Mahsulot sotib olish")</f>
        <v/>
      </c>
      <c r="I154" t="inlineStr">
        <is>
          <t>4-818-757</t>
        </is>
      </c>
    </row>
    <row r="155" ht="30" customHeight="1">
      <c r="A155" s="4" t="inlineStr">
        <is>
          <t>Switchlar</t>
        </is>
      </c>
      <c r="B155" s="4" t="inlineStr">
        <is>
          <t>SNR-S2989G-8TX-POE 2-darajali PoE boshqariladigan kommutator</t>
        </is>
      </c>
      <c r="C155" s="5" t="inlineStr"/>
      <c r="D155" s="5" t="n">
        <v>4836160</v>
      </c>
      <c r="E155" s="5" t="n">
        <v>4318000</v>
      </c>
      <c r="F155" s="5" t="inlineStr"/>
      <c r="G155" s="5" t="inlineStr">
        <is>
          <t>SNR</t>
        </is>
      </c>
      <c r="H155" s="5">
        <f>HYPERLINK("https://itrix.uz/product/819", "🔗 Mahsulot sotib olish")</f>
        <v/>
      </c>
      <c r="I155" t="inlineStr">
        <is>
          <t>4-819-758</t>
        </is>
      </c>
    </row>
    <row r="156" ht="30" customHeight="1">
      <c r="A156" s="4" t="inlineStr">
        <is>
          <t>Switchlar</t>
        </is>
      </c>
      <c r="B156" s="4" t="inlineStr">
        <is>
          <t>SNR-S2989G-8TX 2-darajali boshqariladigan kommutator</t>
        </is>
      </c>
      <c r="C156" s="5" t="inlineStr"/>
      <c r="D156" s="5" t="n">
        <v>2766284</v>
      </c>
      <c r="E156" s="5" t="n">
        <v>2469896</v>
      </c>
      <c r="F156" s="5" t="inlineStr"/>
      <c r="G156" s="5" t="inlineStr">
        <is>
          <t>SNR</t>
        </is>
      </c>
      <c r="H156" s="5">
        <f>HYPERLINK("https://itrix.uz/product/820", "🔗 Mahsulot sotib olish")</f>
        <v/>
      </c>
      <c r="I156" t="inlineStr">
        <is>
          <t>4-820-759</t>
        </is>
      </c>
    </row>
    <row r="157" ht="30" customHeight="1">
      <c r="A157" s="4" t="inlineStr">
        <is>
          <t>Switchlar</t>
        </is>
      </c>
      <c r="B157" s="4" t="inlineStr">
        <is>
          <t>SNR-S2989G-24TX-UPS 2-darajali boshqariladigan kommutator</t>
        </is>
      </c>
      <c r="C157" s="5" t="inlineStr"/>
      <c r="D157" s="5" t="n">
        <v>5601838</v>
      </c>
      <c r="E157" s="5" t="n">
        <v>5001641</v>
      </c>
      <c r="F157" s="5" t="inlineStr"/>
      <c r="G157" s="5" t="inlineStr">
        <is>
          <t>SNR</t>
        </is>
      </c>
      <c r="H157" s="5">
        <f>HYPERLINK("https://itrix.uz/product/826", "🔗 Mahsulot sotib olish")</f>
        <v/>
      </c>
      <c r="I157" t="inlineStr">
        <is>
          <t>4-826-760</t>
        </is>
      </c>
    </row>
    <row r="158" ht="30" customHeight="1">
      <c r="A158" s="4" t="inlineStr">
        <is>
          <t>Switchlar</t>
        </is>
      </c>
      <c r="B158" s="4" t="inlineStr">
        <is>
          <t>SNR-S2982G-24T-POE-E 2-darajali PoE boshqariladigan kommutator</t>
        </is>
      </c>
      <c r="C158" s="5" t="inlineStr"/>
      <c r="D158" s="5" t="n">
        <v>9613006</v>
      </c>
      <c r="E158" s="5" t="n">
        <v>8583041</v>
      </c>
      <c r="F158" s="5" t="inlineStr"/>
      <c r="G158" s="5" t="inlineStr">
        <is>
          <t>SNR</t>
        </is>
      </c>
      <c r="H158" s="5">
        <f>HYPERLINK("https://itrix.uz/product/827", "🔗 Mahsulot sotib olish")</f>
        <v/>
      </c>
      <c r="I158" t="inlineStr">
        <is>
          <t>4-827-761</t>
        </is>
      </c>
    </row>
    <row r="159" ht="30" customHeight="1">
      <c r="A159" s="4" t="inlineStr">
        <is>
          <t>Switchlar</t>
        </is>
      </c>
      <c r="B159" s="4" t="inlineStr">
        <is>
          <t>SNR-S215Gi-8T-POE 2-darajali sanoat PoE boshqariladigan kommutator</t>
        </is>
      </c>
      <c r="C159" s="5" t="inlineStr"/>
      <c r="D159" s="5" t="n">
        <v>4149425</v>
      </c>
      <c r="E159" s="5" t="n">
        <v>3704844</v>
      </c>
      <c r="F159" s="5" t="inlineStr"/>
      <c r="G159" s="5" t="inlineStr">
        <is>
          <t>SNR</t>
        </is>
      </c>
      <c r="H159" s="5">
        <f>HYPERLINK("https://itrix.uz/product/828", "🔗 Mahsulot sotib olish")</f>
        <v/>
      </c>
      <c r="I159" t="inlineStr">
        <is>
          <t>4-828-762</t>
        </is>
      </c>
    </row>
    <row r="160" ht="30" customHeight="1">
      <c r="A160" s="4" t="inlineStr">
        <is>
          <t>Switchlar</t>
        </is>
      </c>
      <c r="B160" s="4" t="inlineStr">
        <is>
          <t>SNR-S1908G-2S boshqarilmaydigan kommutator</t>
        </is>
      </c>
      <c r="C160" s="5" t="inlineStr"/>
      <c r="D160" s="5" t="n">
        <v>789574</v>
      </c>
      <c r="E160" s="5" t="n">
        <v>704977</v>
      </c>
      <c r="F160" s="5" t="inlineStr"/>
      <c r="G160" s="5" t="inlineStr">
        <is>
          <t>SNR</t>
        </is>
      </c>
      <c r="H160" s="5">
        <f>HYPERLINK("https://itrix.uz/product/835", "🔗 Mahsulot sotib olish")</f>
        <v/>
      </c>
      <c r="I160" t="inlineStr">
        <is>
          <t>4-835-767</t>
        </is>
      </c>
    </row>
    <row r="161" ht="30" customHeight="1">
      <c r="A161" s="4" t="inlineStr">
        <is>
          <t>Switchlar</t>
        </is>
      </c>
      <c r="B161" s="4" t="inlineStr">
        <is>
          <t>SNR-S1904G-2S boshqarilmaydigan kommutator</t>
        </is>
      </c>
      <c r="C161" s="5" t="inlineStr"/>
      <c r="D161" s="5" t="n">
        <v>691571</v>
      </c>
      <c r="E161" s="5" t="n">
        <v>617474</v>
      </c>
      <c r="F161" s="5" t="inlineStr"/>
      <c r="G161" s="5" t="inlineStr">
        <is>
          <t>SNR</t>
        </is>
      </c>
      <c r="H161" s="5">
        <f>HYPERLINK("https://itrix.uz/product/836", "🔗 Mahsulot sotib olish")</f>
        <v/>
      </c>
      <c r="I161" t="inlineStr">
        <is>
          <t>4-836-768</t>
        </is>
      </c>
    </row>
    <row r="162" ht="30" customHeight="1">
      <c r="A162" s="4" t="inlineStr">
        <is>
          <t>Switchlar</t>
        </is>
      </c>
      <c r="B162" s="4" t="inlineStr">
        <is>
          <t xml:space="preserve"> 2 darajali boshqariladigan kommutator SNR-S2989G-24TX</t>
        </is>
      </c>
      <c r="C162" s="5" t="inlineStr"/>
      <c r="D162" s="5" t="n">
        <v>4426082</v>
      </c>
      <c r="E162" s="5" t="n">
        <v>3951859</v>
      </c>
      <c r="F162" s="5" t="inlineStr"/>
      <c r="G162" s="5" t="inlineStr">
        <is>
          <t>SNR</t>
        </is>
      </c>
      <c r="H162" s="5">
        <f>HYPERLINK("https://itrix.uz/product/432", "🔗 Mahsulot sotib olish")</f>
        <v/>
      </c>
      <c r="I162" t="inlineStr">
        <is>
          <t>4-432-416</t>
        </is>
      </c>
    </row>
    <row r="163" ht="30" customHeight="1">
      <c r="A163" s="4" t="inlineStr">
        <is>
          <t>Telekommunikatsiya shkaflari</t>
        </is>
      </c>
      <c r="B163" s="4" t="inlineStr">
        <is>
          <t xml:space="preserve">Telekommunikatsion devor shkafi 12U, 600x600x635 (KxChxB) </t>
        </is>
      </c>
      <c r="C163" s="5" t="inlineStr"/>
      <c r="D163" s="5" t="n">
        <v>2181819</v>
      </c>
      <c r="E163" s="5" t="n">
        <v>1948053</v>
      </c>
      <c r="F163" s="5" t="inlineStr"/>
      <c r="G163" s="5" t="inlineStr">
        <is>
          <t>SNR</t>
        </is>
      </c>
      <c r="H163" s="5">
        <f>HYPERLINK("https://itrix.uz/product/897", "🔗 Mahsulot sotib olish")</f>
        <v/>
      </c>
      <c r="I163" t="inlineStr">
        <is>
          <t>4-897-787</t>
        </is>
      </c>
    </row>
    <row r="164" ht="30" customHeight="1">
      <c r="A164" s="4" t="inlineStr">
        <is>
          <t>Switchlar</t>
        </is>
      </c>
      <c r="B164" s="4" t="inlineStr">
        <is>
          <t>Boshqarilmaydigan kommutator  SNR-S1904G-1S</t>
        </is>
      </c>
      <c r="C164" s="5" t="inlineStr"/>
      <c r="D164" s="5" t="n">
        <v>553171</v>
      </c>
      <c r="E164" s="5" t="n">
        <v>493903</v>
      </c>
      <c r="F164" s="5" t="inlineStr"/>
      <c r="G164" s="5" t="inlineStr">
        <is>
          <t>SNR</t>
        </is>
      </c>
      <c r="H164" s="5">
        <f>HYPERLINK("https://itrix.uz/product/881", "🔗 Mahsulot sotib olish")</f>
        <v/>
      </c>
      <c r="I164" t="inlineStr">
        <is>
          <t>4-881-769</t>
        </is>
      </c>
    </row>
    <row r="165" ht="30" customHeight="1">
      <c r="A165" s="4" t="inlineStr">
        <is>
          <t>Switchlar</t>
        </is>
      </c>
      <c r="B165" s="4" t="inlineStr">
        <is>
          <t>SNR-S1100G-8T boshqarilmaydigan kommutator</t>
        </is>
      </c>
      <c r="C165" s="5" t="inlineStr"/>
      <c r="D165" s="5" t="n">
        <v>320467</v>
      </c>
      <c r="E165" s="5" t="n">
        <v>286131</v>
      </c>
      <c r="F165" s="5" t="inlineStr"/>
      <c r="G165" s="5" t="inlineStr">
        <is>
          <t>SNR</t>
        </is>
      </c>
      <c r="H165" s="5">
        <f>HYPERLINK("https://itrix.uz/product/829", "🔗 Mahsulot sotib olish")</f>
        <v/>
      </c>
      <c r="I165" t="inlineStr">
        <is>
          <t>4-829-763</t>
        </is>
      </c>
    </row>
    <row r="166" ht="30" customHeight="1">
      <c r="A166" s="4" t="inlineStr">
        <is>
          <t>Switchlar</t>
        </is>
      </c>
      <c r="B166" s="4" t="inlineStr">
        <is>
          <t>SNR-S1908-1GS boshqarilmaydigan kommutator</t>
        </is>
      </c>
      <c r="C166" s="5" t="inlineStr"/>
      <c r="D166" s="5" t="n">
        <v>682041</v>
      </c>
      <c r="E166" s="5" t="n">
        <v>608965</v>
      </c>
      <c r="F166" s="5" t="inlineStr"/>
      <c r="G166" s="5" t="inlineStr">
        <is>
          <t>SNR</t>
        </is>
      </c>
      <c r="H166" s="5">
        <f>HYPERLINK("https://itrix.uz/product/832", "🔗 Mahsulot sotib olish")</f>
        <v/>
      </c>
      <c r="I166" t="inlineStr">
        <is>
          <t>4-832-766</t>
        </is>
      </c>
    </row>
    <row r="167" ht="30" customHeight="1">
      <c r="A167" s="4" t="inlineStr">
        <is>
          <t>Switchlar</t>
        </is>
      </c>
      <c r="B167" s="4" t="inlineStr">
        <is>
          <t>SNR-S1100G-5T boshqarilmaydigan kommutator</t>
        </is>
      </c>
      <c r="C167" s="5" t="inlineStr"/>
      <c r="D167" s="5" t="n">
        <v>227584</v>
      </c>
      <c r="E167" s="5" t="n">
        <v>203200</v>
      </c>
      <c r="F167" s="5" t="inlineStr"/>
      <c r="G167" s="5" t="inlineStr">
        <is>
          <t>SNR</t>
        </is>
      </c>
      <c r="H167" s="5">
        <f>HYPERLINK("https://itrix.uz/product/830", "🔗 Mahsulot sotib olish")</f>
        <v/>
      </c>
      <c r="I167" t="inlineStr">
        <is>
          <t>4-830-764</t>
        </is>
      </c>
    </row>
    <row r="168" ht="30" customHeight="1">
      <c r="A168" s="4" t="inlineStr">
        <is>
          <t>Switchlar</t>
        </is>
      </c>
      <c r="B168" s="4" t="inlineStr">
        <is>
          <t>SNR-S1000-8T boshqarilmaydigan kommutator</t>
        </is>
      </c>
      <c r="C168" s="5" t="inlineStr"/>
      <c r="D168" s="5" t="n">
        <v>167132</v>
      </c>
      <c r="E168" s="5" t="n">
        <v>149225</v>
      </c>
      <c r="F168" s="5" t="inlineStr"/>
      <c r="G168" s="5" t="inlineStr">
        <is>
          <t>SNR</t>
        </is>
      </c>
      <c r="H168" s="5">
        <f>HYPERLINK("https://itrix.uz/product/831", "🔗 Mahsulot sotib olish")</f>
        <v/>
      </c>
      <c r="I168" t="inlineStr">
        <is>
          <t>4-831-765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tabColor rgb="0052567F"/>
    <outlinePr summaryBelow="1" summaryRight="1"/>
    <pageSetUpPr/>
  </sheetPr>
  <dimension ref="A1:I33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>
      <c r="A2" s="4" t="inlineStr">
        <is>
          <t>Routerlar</t>
        </is>
      </c>
      <c r="B2" s="4" t="inlineStr">
        <is>
          <t>MikroTik CCR1009-7G-1C-1S+PC marshrutizatori — 9 portli, yuqori unumli professional tarmoq yo‘riqnoma</t>
        </is>
      </c>
      <c r="C2" s="5" t="inlineStr"/>
      <c r="D2" s="5" t="n">
        <v>8605520</v>
      </c>
      <c r="E2" s="5" t="n">
        <v>7683500</v>
      </c>
      <c r="F2" s="5" t="inlineStr"/>
      <c r="G2" s="5" t="inlineStr">
        <is>
          <t>Mikrotik</t>
        </is>
      </c>
      <c r="H2" s="5">
        <f>HYPERLINK("https://itrix.uz/product/239", "🔗 Mahsulot sotib olish")</f>
        <v/>
      </c>
      <c r="I2" t="inlineStr">
        <is>
          <t>8-239-241</t>
        </is>
      </c>
    </row>
    <row r="3" ht="30" customHeight="1">
      <c r="A3" s="4" t="inlineStr">
        <is>
          <t>Routerlar</t>
        </is>
      </c>
      <c r="B3" s="4" t="inlineStr">
        <is>
          <t>MikroTik RB951Ui-2HnD Wi-Fi marshrutizatori — 2.4GHz, 5 ta LAN port, yuqori quvvatli simsiz router</t>
        </is>
      </c>
      <c r="C3" s="5" t="inlineStr"/>
      <c r="D3" s="5" t="n">
        <v>1085149</v>
      </c>
      <c r="E3" s="5" t="n">
        <v>968883</v>
      </c>
      <c r="F3" s="5" t="n">
        <v>905510</v>
      </c>
      <c r="G3" s="5" t="inlineStr">
        <is>
          <t>Mikrotik</t>
        </is>
      </c>
      <c r="H3" s="5">
        <f>HYPERLINK("https://itrix.uz/product/244", "🔗 Mahsulot sotib olish")</f>
        <v/>
      </c>
      <c r="I3" t="inlineStr">
        <is>
          <t>8-244-246</t>
        </is>
      </c>
    </row>
    <row r="4" ht="30" customHeight="1">
      <c r="A4" s="4" t="inlineStr">
        <is>
          <t>Routerlar</t>
        </is>
      </c>
      <c r="B4" s="4" t="inlineStr">
        <is>
          <t>Ubiquiti EdgeRouter X SFP marshrutizatori</t>
        </is>
      </c>
      <c r="C4" s="5" t="inlineStr"/>
      <c r="D4" s="5" t="n">
        <v>1721104</v>
      </c>
      <c r="E4" s="5" t="n">
        <v>1536700</v>
      </c>
      <c r="F4" s="5" t="inlineStr"/>
      <c r="G4" s="5" t="inlineStr">
        <is>
          <t>UniFi UBIQUITI</t>
        </is>
      </c>
      <c r="H4" s="5">
        <f>HYPERLINK("https://itrix.uz/product/178", "🔗 Mahsulot sotib olish")</f>
        <v/>
      </c>
      <c r="I4" t="inlineStr">
        <is>
          <t>8-178-180</t>
        </is>
      </c>
    </row>
    <row r="5" ht="30" customHeight="1">
      <c r="A5" s="4" t="inlineStr">
        <is>
          <t>Routerlar</t>
        </is>
      </c>
      <c r="B5" s="4" t="inlineStr">
        <is>
          <t xml:space="preserve"> Ubiquiti UniFi Cloud Gateway Ultra UCG-Ultra marshrutizatori</t>
        </is>
      </c>
      <c r="C5" s="5" t="inlineStr"/>
      <c r="D5" s="5" t="n">
        <v>2190496</v>
      </c>
      <c r="E5" s="5" t="n">
        <v>1955800</v>
      </c>
      <c r="F5" s="5" t="inlineStr"/>
      <c r="G5" s="5" t="inlineStr">
        <is>
          <t>UniFi UBIQUITI</t>
        </is>
      </c>
      <c r="H5" s="5">
        <f>HYPERLINK("https://itrix.uz/product/308", "🔗 Mahsulot sotib olish")</f>
        <v/>
      </c>
      <c r="I5" t="inlineStr">
        <is>
          <t>8-308-310</t>
        </is>
      </c>
    </row>
    <row r="6" ht="30" customHeight="1">
      <c r="A6" s="4" t="inlineStr">
        <is>
          <t>Routerlar</t>
        </is>
      </c>
      <c r="B6" s="4" t="inlineStr">
        <is>
          <t xml:space="preserve"> UniFi Dream Machine Special Edition marshrutizatori</t>
        </is>
      </c>
      <c r="C6" s="5" t="inlineStr"/>
      <c r="D6" s="5" t="n">
        <v>9515856</v>
      </c>
      <c r="E6" s="5" t="n">
        <v>8496300</v>
      </c>
      <c r="F6" s="5" t="inlineStr"/>
      <c r="G6" s="5" t="inlineStr">
        <is>
          <t>UniFi UBIQUITI</t>
        </is>
      </c>
      <c r="H6" s="5">
        <f>HYPERLINK("https://itrix.uz/product/311", "🔗 Mahsulot sotib olish")</f>
        <v/>
      </c>
      <c r="I6" t="inlineStr">
        <is>
          <t>8-311-313</t>
        </is>
      </c>
    </row>
    <row r="7" ht="30" customHeight="1">
      <c r="A7" s="4" t="inlineStr">
        <is>
          <t>Routerlar</t>
        </is>
      </c>
      <c r="B7" s="4" t="inlineStr">
        <is>
          <t>MikroTik RB3011UiAS-RM marshrutizatori — 10 portli, yuqori unumli rackmount tarmoq yo‘riqnoma</t>
        </is>
      </c>
      <c r="C7" s="5" t="inlineStr"/>
      <c r="D7" s="5" t="n">
        <v>2816352</v>
      </c>
      <c r="E7" s="5" t="n">
        <v>2514600</v>
      </c>
      <c r="F7" s="5" t="inlineStr"/>
      <c r="G7" s="5" t="inlineStr">
        <is>
          <t>Mikrotik</t>
        </is>
      </c>
      <c r="H7" s="5">
        <f>HYPERLINK("https://itrix.uz/product/234", "🔗 Mahsulot sotib olish")</f>
        <v/>
      </c>
      <c r="I7" t="inlineStr">
        <is>
          <t>8-234-236</t>
        </is>
      </c>
    </row>
    <row r="8">
      <c r="A8" s="4" t="inlineStr">
        <is>
          <t>Routerlar</t>
        </is>
      </c>
      <c r="B8" s="4" t="inlineStr">
        <is>
          <t>MikroTik CCR1036-12G-4S-EM marshrutizatori — 36 yadroli, 12xGigabit, 4xSFP portli yuqori unumli tarmoq yo‘riqnoma</t>
        </is>
      </c>
      <c r="C8" s="5" t="inlineStr"/>
      <c r="D8" s="5" t="n">
        <v>22530816</v>
      </c>
      <c r="E8" s="5" t="n">
        <v>20116800</v>
      </c>
      <c r="F8" s="5" t="inlineStr"/>
      <c r="G8" s="5" t="inlineStr">
        <is>
          <t>Mikrotik</t>
        </is>
      </c>
      <c r="H8" s="5">
        <f>HYPERLINK("https://itrix.uz/product/236", "🔗 Mahsulot sotib olish")</f>
        <v/>
      </c>
      <c r="I8" t="inlineStr">
        <is>
          <t>8-236-238</t>
        </is>
      </c>
    </row>
    <row r="9">
      <c r="A9" s="4" t="inlineStr">
        <is>
          <t>Routerlar</t>
        </is>
      </c>
      <c r="B9" s="4" t="inlineStr">
        <is>
          <t>MikroTik CCR2116-12G-4S+ marshrutizatori — 12xGigabit, 4x10G SFP+, 16 yadroli kuchli rackmount tarmoq yo‘riqnoma</t>
        </is>
      </c>
      <c r="C9" s="5" t="inlineStr"/>
      <c r="D9" s="5" t="n">
        <v>14848291</v>
      </c>
      <c r="E9" s="5" t="n">
        <v>13257403</v>
      </c>
      <c r="F9" s="5" t="n">
        <v>12390120</v>
      </c>
      <c r="G9" s="5" t="inlineStr">
        <is>
          <t>Mikrotik</t>
        </is>
      </c>
      <c r="H9" s="5">
        <f>HYPERLINK("https://itrix.uz/product/241", "🔗 Mahsulot sotib olish")</f>
        <v/>
      </c>
      <c r="I9" t="inlineStr">
        <is>
          <t>8-241-243</t>
        </is>
      </c>
    </row>
    <row r="10" ht="30" customHeight="1">
      <c r="A10" s="4" t="inlineStr">
        <is>
          <t>Routerlar</t>
        </is>
      </c>
      <c r="B10" s="4" t="inlineStr">
        <is>
          <t xml:space="preserve"> Mikrotik L009UiGS-RM marshrutizatori</t>
        </is>
      </c>
      <c r="C10" s="5" t="inlineStr"/>
      <c r="D10" s="5" t="n">
        <v>2015968</v>
      </c>
      <c r="E10" s="5" t="n">
        <v>1799971</v>
      </c>
      <c r="F10" s="5" t="n">
        <v>1533525</v>
      </c>
      <c r="G10" s="5" t="inlineStr">
        <is>
          <t>Mikrotik</t>
        </is>
      </c>
      <c r="H10" s="5">
        <f>HYPERLINK("https://itrix.uz/product/511", "🔗 Mahsulot sotib olish")</f>
        <v/>
      </c>
      <c r="I10" t="inlineStr">
        <is>
          <t>8-511-489</t>
        </is>
      </c>
    </row>
    <row r="11" ht="30" customHeight="1">
      <c r="A11" s="4" t="inlineStr">
        <is>
          <t>Routerlar</t>
        </is>
      </c>
      <c r="B11" s="4" t="inlineStr">
        <is>
          <t xml:space="preserve"> Mikrotik Cloud Core Router CCR2004-16G-2S+PC marshrutizatori</t>
        </is>
      </c>
      <c r="C11" s="5" t="inlineStr"/>
      <c r="D11" s="5" t="n">
        <v>7592487</v>
      </c>
      <c r="E11" s="5" t="n">
        <v>6779006</v>
      </c>
      <c r="F11" s="5" t="n">
        <v>5681345</v>
      </c>
      <c r="G11" s="5" t="inlineStr">
        <is>
          <t>Mikrotik</t>
        </is>
      </c>
      <c r="H11" s="5">
        <f>HYPERLINK("https://itrix.uz/product/512", "🔗 Mahsulot sotib olish")</f>
        <v/>
      </c>
      <c r="I11" t="inlineStr">
        <is>
          <t>8-512-490</t>
        </is>
      </c>
    </row>
    <row r="12">
      <c r="A12" s="4" t="inlineStr">
        <is>
          <t>Routerlar</t>
        </is>
      </c>
      <c r="B12" s="4" t="inlineStr">
        <is>
          <t>MikroTik CCR1009-7G-1C-1S+ marshrutizatori — 9 portli, kuchli rackmount tarmoq yo‘riqnoma SFP+ bilan</t>
        </is>
      </c>
      <c r="C12" s="5" t="inlineStr"/>
      <c r="D12" s="5" t="n">
        <v>8420608</v>
      </c>
      <c r="E12" s="5" t="n">
        <v>7518400</v>
      </c>
      <c r="F12" s="5" t="inlineStr"/>
      <c r="G12" s="5" t="inlineStr">
        <is>
          <t>Mikrotik</t>
        </is>
      </c>
      <c r="H12" s="5">
        <f>HYPERLINK("https://itrix.uz/product/240", "🔗 Mahsulot sotib olish")</f>
        <v/>
      </c>
      <c r="I12" t="inlineStr">
        <is>
          <t>8-240-242</t>
        </is>
      </c>
    </row>
    <row r="13">
      <c r="A13" s="4" t="inlineStr">
        <is>
          <t>Routerlar</t>
        </is>
      </c>
      <c r="B13" s="4" t="inlineStr">
        <is>
          <t>MikroTik hAP RB951Ui-2nD Wi-Fi marshrutizatori — 2.4GHz Wi-Fi, 5xLAN portli, PoE qo‘llab-quvvatlovchi uy routeri</t>
        </is>
      </c>
      <c r="C13" s="5" t="inlineStr"/>
      <c r="D13" s="5" t="n">
        <v>711200</v>
      </c>
      <c r="E13" s="5" t="n">
        <v>635000</v>
      </c>
      <c r="F13" s="5" t="inlineStr"/>
      <c r="G13" s="5" t="inlineStr">
        <is>
          <t>Mikrotik</t>
        </is>
      </c>
      <c r="H13" s="5">
        <f>HYPERLINK("https://itrix.uz/product/243", "🔗 Mahsulot sotib olish")</f>
        <v/>
      </c>
      <c r="I13" t="inlineStr">
        <is>
          <t>8-243-245</t>
        </is>
      </c>
    </row>
    <row r="14">
      <c r="A14" s="4" t="inlineStr">
        <is>
          <t>Routerlar</t>
        </is>
      </c>
      <c r="B14" s="4" t="inlineStr">
        <is>
          <t>MikroTik hAP ac lite RB952Ui-5ac2nD Wi-Fi marshrutizatori — 2.4GHz va 5GHz dual-band, 5xLAN portli, PoE qo‘llab-quvvatlovchi router</t>
        </is>
      </c>
      <c r="C14" s="5" t="inlineStr"/>
      <c r="D14" s="5" t="n">
        <v>980176</v>
      </c>
      <c r="E14" s="5" t="n">
        <v>875157</v>
      </c>
      <c r="F14" s="5" t="n">
        <v>817880</v>
      </c>
      <c r="G14" s="5" t="inlineStr">
        <is>
          <t>Mikrotik</t>
        </is>
      </c>
      <c r="H14" s="5">
        <f>HYPERLINK("https://itrix.uz/product/246", "🔗 Mahsulot sotib olish")</f>
        <v/>
      </c>
      <c r="I14" t="inlineStr">
        <is>
          <t>8-246-248</t>
        </is>
      </c>
    </row>
    <row r="15" ht="30" customHeight="1">
      <c r="A15" s="4" t="inlineStr">
        <is>
          <t>Routerlar</t>
        </is>
      </c>
      <c r="B15" s="4" t="inlineStr">
        <is>
          <t xml:space="preserve"> Wi-Fi marshrutizatori Ubiquiti UniFi Dream Router UDR</t>
        </is>
      </c>
      <c r="C15" s="5" t="inlineStr"/>
      <c r="D15" s="5" t="n">
        <v>4423664</v>
      </c>
      <c r="E15" s="5" t="n">
        <v>3949700</v>
      </c>
      <c r="F15" s="5" t="inlineStr"/>
      <c r="G15" s="5" t="inlineStr">
        <is>
          <t>UniFi UBIQUITI</t>
        </is>
      </c>
      <c r="H15" s="5">
        <f>HYPERLINK("https://itrix.uz/product/309", "🔗 Mahsulot sotib olish")</f>
        <v/>
      </c>
      <c r="I15" t="inlineStr">
        <is>
          <t>8-309-311</t>
        </is>
      </c>
    </row>
    <row r="16" ht="30" customHeight="1">
      <c r="A16" s="4" t="inlineStr">
        <is>
          <t>Routerlar</t>
        </is>
      </c>
      <c r="B16" s="4" t="inlineStr">
        <is>
          <t>MikroTik RB1100AHx4 marshrutizatori — 13 ta Gigabit portli, 4 yadroli, rackmount tarmoq yo‘riqnoma</t>
        </is>
      </c>
      <c r="C16" s="5" t="inlineStr"/>
      <c r="D16" s="5" t="n">
        <v>4708144</v>
      </c>
      <c r="E16" s="5" t="n">
        <v>4203700</v>
      </c>
      <c r="F16" s="5" t="inlineStr"/>
      <c r="G16" s="5" t="inlineStr">
        <is>
          <t>Mikrotik</t>
        </is>
      </c>
      <c r="H16" s="5">
        <f>HYPERLINK("https://itrix.uz/product/237", "🔗 Mahsulot sotib olish")</f>
        <v/>
      </c>
      <c r="I16" t="inlineStr">
        <is>
          <t>8-237-239</t>
        </is>
      </c>
    </row>
    <row r="17" ht="30" customHeight="1">
      <c r="A17" s="4" t="inlineStr">
        <is>
          <t>Routerlar</t>
        </is>
      </c>
      <c r="B17" s="4" t="inlineStr">
        <is>
          <t xml:space="preserve"> Boshqariladigan PoE kommutator Ruijie Reyee RG-ES205GC-P</t>
        </is>
      </c>
      <c r="C17" s="5" t="inlineStr"/>
      <c r="D17" s="5" t="n">
        <v>967232</v>
      </c>
      <c r="E17" s="5" t="n">
        <v>863600</v>
      </c>
      <c r="F17" s="5" t="inlineStr"/>
      <c r="G17" s="5" t="inlineStr">
        <is>
          <t>Reyee</t>
        </is>
      </c>
      <c r="H17" s="5">
        <f>HYPERLINK("https://itrix.uz/product/484", "🔗 Mahsulot sotib olish")</f>
        <v/>
      </c>
      <c r="I17" t="inlineStr">
        <is>
          <t>8-484-468</t>
        </is>
      </c>
    </row>
    <row r="18">
      <c r="A18" s="4" t="inlineStr">
        <is>
          <t>Routerlar</t>
        </is>
      </c>
      <c r="B18" s="4" t="inlineStr">
        <is>
          <t>MikroTik RB2011UiAS-RM marshrutizatori — 5 ta Fast Ethernet va 5 ta Gigabit portli rackmount tarmoq yo‘riqnoma</t>
        </is>
      </c>
      <c r="C18" s="5" t="inlineStr"/>
      <c r="D18" s="5" t="n">
        <v>1906016</v>
      </c>
      <c r="E18" s="5" t="n">
        <v>1701800</v>
      </c>
      <c r="F18" s="5" t="inlineStr"/>
      <c r="G18" s="5" t="inlineStr">
        <is>
          <t>Mikrotik</t>
        </is>
      </c>
      <c r="H18" s="5">
        <f>HYPERLINK("https://itrix.uz/product/232", "🔗 Mahsulot sotib olish")</f>
        <v/>
      </c>
      <c r="I18" t="inlineStr">
        <is>
          <t>8-232-234</t>
        </is>
      </c>
    </row>
    <row r="19" ht="30" customHeight="1">
      <c r="A19" s="4" t="inlineStr">
        <is>
          <t>Routerlar</t>
        </is>
      </c>
      <c r="B19" s="4" t="inlineStr">
        <is>
          <t xml:space="preserve"> MikroTik CCR2004-1G-12S+2XS marshrutizatori</t>
        </is>
      </c>
      <c r="C19" s="5" t="inlineStr"/>
      <c r="D19" s="5" t="n">
        <v>9816694</v>
      </c>
      <c r="E19" s="5" t="n">
        <v>8764905</v>
      </c>
      <c r="F19" s="5" t="n">
        <v>8191500</v>
      </c>
      <c r="G19" s="5" t="inlineStr">
        <is>
          <t>Mikrotik</t>
        </is>
      </c>
      <c r="H19" s="5">
        <f>HYPERLINK("https://itrix.uz/product/367", "🔗 Mahsulot sotib olish")</f>
        <v/>
      </c>
      <c r="I19" t="inlineStr">
        <is>
          <t>8-367-372</t>
        </is>
      </c>
    </row>
    <row r="20" ht="30" customHeight="1">
      <c r="A20" s="4" t="inlineStr">
        <is>
          <t>Routerlar</t>
        </is>
      </c>
      <c r="B20" s="4" t="inlineStr">
        <is>
          <t xml:space="preserve"> MikroTik CCR2004-16G-2S+ marshrutizatori</t>
        </is>
      </c>
      <c r="C20" s="5" t="inlineStr"/>
      <c r="D20" s="5" t="n">
        <v>7232335</v>
      </c>
      <c r="E20" s="5" t="n">
        <v>6457442</v>
      </c>
      <c r="F20" s="5" t="n">
        <v>6035040</v>
      </c>
      <c r="G20" s="5" t="inlineStr">
        <is>
          <t>Mikrotik</t>
        </is>
      </c>
      <c r="H20" s="5">
        <f>HYPERLINK("https://itrix.uz/product/366", "🔗 Mahsulot sotib olish")</f>
        <v/>
      </c>
      <c r="I20" t="inlineStr">
        <is>
          <t>8-366-371</t>
        </is>
      </c>
    </row>
    <row r="21" ht="30" customHeight="1">
      <c r="A21" s="4" t="inlineStr">
        <is>
          <t>Routerlar</t>
        </is>
      </c>
      <c r="B21" s="4" t="inlineStr">
        <is>
          <t xml:space="preserve"> MikroTik hEX RB750Gr3 marshrutizatori</t>
        </is>
      </c>
      <c r="C21" s="5" t="inlineStr"/>
      <c r="D21" s="5" t="n">
        <v>910336</v>
      </c>
      <c r="E21" s="5" t="n">
        <v>812800</v>
      </c>
      <c r="F21" s="5" t="inlineStr"/>
      <c r="G21" s="5" t="inlineStr">
        <is>
          <t>Mikrotik</t>
        </is>
      </c>
      <c r="H21" s="5">
        <f>HYPERLINK("https://itrix.uz/product/368", "🔗 Mahsulot sotib olish")</f>
        <v/>
      </c>
      <c r="I21" t="inlineStr">
        <is>
          <t>8-368-373</t>
        </is>
      </c>
    </row>
    <row r="22">
      <c r="A22" s="4" t="inlineStr">
        <is>
          <t>Routerlar</t>
        </is>
      </c>
      <c r="B22" s="4" t="inlineStr">
        <is>
          <t>MikroTik hAP lite Classic RB941-2nD Wi-Fi marshrutizatori — 2.4GHz, 4 ta LAN portli, ixcham va qulay uy routeri</t>
        </is>
      </c>
      <c r="C22" s="5" t="inlineStr"/>
      <c r="D22" s="5" t="n">
        <v>398272</v>
      </c>
      <c r="E22" s="5" t="n">
        <v>355600</v>
      </c>
      <c r="F22" s="5" t="inlineStr"/>
      <c r="G22" s="5" t="inlineStr">
        <is>
          <t>Mikrotik</t>
        </is>
      </c>
      <c r="H22" s="5">
        <f>HYPERLINK("https://itrix.uz/product/249", "🔗 Mahsulot sotib olish")</f>
        <v/>
      </c>
      <c r="I22" t="inlineStr">
        <is>
          <t>8-249-251</t>
        </is>
      </c>
    </row>
    <row r="23">
      <c r="A23" s="4" t="inlineStr">
        <is>
          <t>Routerlar</t>
        </is>
      </c>
      <c r="B23" s="4" t="inlineStr">
        <is>
          <t>MikroTik hAP lite TC RB941-2nD-TC Wi-Fi marshrutizatori — 2.4GHz, 4 ta LAN port, vertikal korpusli ixcham router</t>
        </is>
      </c>
      <c r="C23" s="5" t="inlineStr"/>
      <c r="D23" s="5" t="n">
        <v>472521</v>
      </c>
      <c r="E23" s="5" t="n">
        <v>421894</v>
      </c>
      <c r="F23" s="5" t="n">
        <v>394335</v>
      </c>
      <c r="G23" s="5" t="inlineStr">
        <is>
          <t>Mikrotik</t>
        </is>
      </c>
      <c r="H23" s="5">
        <f>HYPERLINK("https://itrix.uz/product/250", "🔗 Mahsulot sotib olish")</f>
        <v/>
      </c>
      <c r="I23" t="inlineStr">
        <is>
          <t>8-250-252</t>
        </is>
      </c>
    </row>
    <row r="24" ht="30" customHeight="1">
      <c r="A24" s="4" t="inlineStr">
        <is>
          <t>Routerlar</t>
        </is>
      </c>
      <c r="B24" s="4" t="inlineStr">
        <is>
          <t xml:space="preserve"> PoE-marshrutizator Ruijie Reyee RG-EG210G-P</t>
        </is>
      </c>
      <c r="C24" s="5" t="inlineStr"/>
      <c r="D24" s="5" t="n">
        <v>2631440</v>
      </c>
      <c r="E24" s="5" t="n">
        <v>2349500</v>
      </c>
      <c r="F24" s="5" t="inlineStr"/>
      <c r="G24" s="5" t="inlineStr">
        <is>
          <t>Reyee</t>
        </is>
      </c>
      <c r="H24" s="5">
        <f>HYPERLINK("https://itrix.uz/product/486", "🔗 Mahsulot sotib olish")</f>
        <v/>
      </c>
      <c r="I24" t="inlineStr">
        <is>
          <t>8-486-470</t>
        </is>
      </c>
    </row>
    <row r="25" ht="30" customHeight="1">
      <c r="A25" s="4" t="inlineStr">
        <is>
          <t>Routerlar</t>
        </is>
      </c>
      <c r="B25" s="4" t="inlineStr">
        <is>
          <t xml:space="preserve"> Kommutator Ruijie Reyee RG-ES209GC-P</t>
        </is>
      </c>
      <c r="C25" s="5" t="inlineStr"/>
      <c r="D25" s="5" t="n">
        <v>1820672</v>
      </c>
      <c r="E25" s="5" t="n">
        <v>1625600</v>
      </c>
      <c r="F25" s="5" t="inlineStr"/>
      <c r="G25" s="5" t="inlineStr">
        <is>
          <t>Reyee</t>
        </is>
      </c>
      <c r="H25" s="5">
        <f>HYPERLINK("https://itrix.uz/product/485", "🔗 Mahsulot sotib olish")</f>
        <v/>
      </c>
      <c r="I25" t="inlineStr">
        <is>
          <t>8-485-469</t>
        </is>
      </c>
    </row>
    <row r="26" ht="30" customHeight="1">
      <c r="A26" s="4" t="inlineStr">
        <is>
          <t>Routerlar</t>
        </is>
      </c>
      <c r="B26" s="4" t="inlineStr">
        <is>
          <t xml:space="preserve"> L2 darajali boshqariladigan kommutator Ruijie Reyee RG-ES224GC</t>
        </is>
      </c>
      <c r="C26" s="5" t="inlineStr"/>
      <c r="D26" s="5" t="n">
        <v>2389632</v>
      </c>
      <c r="E26" s="5" t="n">
        <v>2133600</v>
      </c>
      <c r="F26" s="5" t="inlineStr"/>
      <c r="G26" s="5" t="inlineStr">
        <is>
          <t>Reyee</t>
        </is>
      </c>
      <c r="H26" s="5">
        <f>HYPERLINK("https://itrix.uz/product/487", "🔗 Mahsulot sotib olish")</f>
        <v/>
      </c>
      <c r="I26" t="inlineStr">
        <is>
          <t>8-487-471</t>
        </is>
      </c>
    </row>
    <row r="27" ht="30" customHeight="1">
      <c r="A27" s="4" t="inlineStr">
        <is>
          <t>Routerlar</t>
        </is>
      </c>
      <c r="B27" s="4" t="inlineStr">
        <is>
          <t>Wi-Fi router MikroTik RB2011UiAS-2HnD-IN — ko‘p portli, kuchli simsiz tarmoq yo‘riqnoma</t>
        </is>
      </c>
      <c r="C27" s="5" t="inlineStr"/>
      <c r="D27" s="5" t="n">
        <v>1920240</v>
      </c>
      <c r="E27" s="5" t="n">
        <v>1714500</v>
      </c>
      <c r="F27" s="5" t="inlineStr"/>
      <c r="G27" s="5" t="inlineStr">
        <is>
          <t>Mikrotik</t>
        </is>
      </c>
      <c r="H27" s="5">
        <f>HYPERLINK("https://itrix.uz/product/233", "🔗 Mahsulot sotib olish")</f>
        <v/>
      </c>
      <c r="I27" t="inlineStr">
        <is>
          <t>8-233-235</t>
        </is>
      </c>
    </row>
    <row r="28">
      <c r="A28" s="4" t="inlineStr">
        <is>
          <t>Routerlar</t>
        </is>
      </c>
      <c r="B28" s="4" t="inlineStr">
        <is>
          <t>MikroTik RB4011iGS+RM marshrutizatori — kuchli 10-portli rackmount tarmoq yo‘riqnoma SFP+ port bilan</t>
        </is>
      </c>
      <c r="C28" s="5" t="inlineStr"/>
      <c r="D28" s="5" t="n">
        <v>3424428</v>
      </c>
      <c r="E28" s="5" t="n">
        <v>3057525</v>
      </c>
      <c r="F28" s="5" t="n">
        <v>2857500</v>
      </c>
      <c r="G28" s="5" t="inlineStr">
        <is>
          <t>Mikrotik</t>
        </is>
      </c>
      <c r="H28" s="5">
        <f>HYPERLINK("https://itrix.uz/product/235", "🔗 Mahsulot sotib olish")</f>
        <v/>
      </c>
      <c r="I28" t="inlineStr">
        <is>
          <t>8-235-237</t>
        </is>
      </c>
    </row>
    <row r="29">
      <c r="A29" s="4" t="inlineStr">
        <is>
          <t>Routerlar</t>
        </is>
      </c>
      <c r="B29" s="4" t="inlineStr">
        <is>
          <t>MikroTik RB1100Dx4 Dude Edition marshrutizatori — 13 portli, kuchli rackmount yo‘riqnoma Dude monitoring tizimi bilan</t>
        </is>
      </c>
      <c r="C29" s="5" t="inlineStr"/>
      <c r="D29" s="5" t="n">
        <v>6258560</v>
      </c>
      <c r="E29" s="5" t="n">
        <v>5588000</v>
      </c>
      <c r="F29" s="5" t="inlineStr"/>
      <c r="G29" s="5" t="inlineStr">
        <is>
          <t>Mikrotik</t>
        </is>
      </c>
      <c r="H29" s="5">
        <f>HYPERLINK("https://itrix.uz/product/238", "🔗 Mahsulot sotib olish")</f>
        <v/>
      </c>
      <c r="I29" t="inlineStr">
        <is>
          <t>8-238-240</t>
        </is>
      </c>
    </row>
    <row r="30">
      <c r="A30" s="4" t="inlineStr">
        <is>
          <t>Routerlar</t>
        </is>
      </c>
      <c r="B30" s="4" t="inlineStr">
        <is>
          <t>MikroTik hEX S RB760iGS marshrutizatori — 5xGigabit portli, SFP slotli, kompaktnaya SOHO tarmoq yo‘riqnoma</t>
        </is>
      </c>
      <c r="C30" s="5" t="inlineStr"/>
      <c r="D30" s="5" t="n">
        <v>1027400</v>
      </c>
      <c r="E30" s="5" t="n">
        <v>917321</v>
      </c>
      <c r="F30" s="5" t="n">
        <v>857250</v>
      </c>
      <c r="G30" s="5" t="inlineStr">
        <is>
          <t>Mikrotik</t>
        </is>
      </c>
      <c r="H30" s="5">
        <f>HYPERLINK("https://itrix.uz/product/242", "🔗 Mahsulot sotib olish")</f>
        <v/>
      </c>
      <c r="I30" t="inlineStr">
        <is>
          <t>8-242-244</t>
        </is>
      </c>
    </row>
    <row r="31">
      <c r="A31" s="4" t="inlineStr">
        <is>
          <t>Routerlar</t>
        </is>
      </c>
      <c r="B31" s="4" t="inlineStr">
        <is>
          <t>MikroTik RB951G-2HnD Wi-Fi marshrutizatori — 5xGigabit portli, 2.4GHz simsiz router, PoE qo‘llab-quvvatlovchi</t>
        </is>
      </c>
      <c r="C31" s="5" t="inlineStr"/>
      <c r="D31" s="5" t="n">
        <v>1607312</v>
      </c>
      <c r="E31" s="5" t="n">
        <v>1435100</v>
      </c>
      <c r="F31" s="5" t="inlineStr"/>
      <c r="G31" s="5" t="inlineStr">
        <is>
          <t>Mikrotik</t>
        </is>
      </c>
      <c r="H31" s="5">
        <f>HYPERLINK("https://itrix.uz/product/245", "🔗 Mahsulot sotib olish")</f>
        <v/>
      </c>
      <c r="I31" t="inlineStr">
        <is>
          <t>8-245-247</t>
        </is>
      </c>
    </row>
    <row r="32">
      <c r="A32" s="4" t="inlineStr">
        <is>
          <t>Routerlar</t>
        </is>
      </c>
      <c r="B32" s="4" t="inlineStr">
        <is>
          <t>MikroTik hEX PoE RB960PGS marshrutizatori — 5xGigabit PoE portli, 1xSFP slotli, kommutatsiyalangan tarmoq yo‘riqnoma</t>
        </is>
      </c>
      <c r="C32" s="5" t="inlineStr"/>
      <c r="D32" s="5" t="n">
        <v>1308608</v>
      </c>
      <c r="E32" s="5" t="n">
        <v>1168400</v>
      </c>
      <c r="F32" s="5" t="inlineStr"/>
      <c r="G32" s="5" t="inlineStr">
        <is>
          <t>Mikrotik</t>
        </is>
      </c>
      <c r="H32" s="5">
        <f>HYPERLINK("https://itrix.uz/product/247", "🔗 Mahsulot sotib olish")</f>
        <v/>
      </c>
      <c r="I32" t="inlineStr">
        <is>
          <t>8-247-249</t>
        </is>
      </c>
    </row>
    <row r="33">
      <c r="A33" s="4" t="inlineStr">
        <is>
          <t>Routerlar</t>
        </is>
      </c>
      <c r="B33" s="4" t="inlineStr">
        <is>
          <t>MikroTik hAP mini RB931-2nD Wi-Fi marshrutizatori — 2.4GHz, 3 ta portli, ixcham va byudjet uy routeri</t>
        </is>
      </c>
      <c r="C33" s="5" t="inlineStr"/>
      <c r="D33" s="5" t="n">
        <v>369824</v>
      </c>
      <c r="E33" s="5" t="n">
        <v>330200</v>
      </c>
      <c r="F33" s="5" t="inlineStr"/>
      <c r="G33" s="5" t="inlineStr">
        <is>
          <t>Mikrotik</t>
        </is>
      </c>
      <c r="H33" s="5">
        <f>HYPERLINK("https://itrix.uz/product/251", "🔗 Mahsulot sotib olish")</f>
        <v/>
      </c>
      <c r="I33" t="inlineStr">
        <is>
          <t>8-251-253</t>
        </is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tabColor rgb="00A15A78"/>
    <outlinePr summaryBelow="1" summaryRight="1"/>
    <pageSetUpPr/>
  </sheetPr>
  <dimension ref="A1:I24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 ht="30" customHeight="1">
      <c r="A2" s="4" t="inlineStr">
        <is>
          <t>WiFi ulanish nuqtalari</t>
        </is>
      </c>
      <c r="B2" s="4" t="inlineStr">
        <is>
          <t>Ubiquiti UniFi U7 Pro U7-Pro kirish nuqtasi</t>
        </is>
      </c>
      <c r="C2" s="5" t="inlineStr"/>
      <c r="D2" s="5" t="n">
        <v>3616168</v>
      </c>
      <c r="E2" s="5" t="n">
        <v>3228721</v>
      </c>
      <c r="F2" s="5" t="n">
        <v>3017520</v>
      </c>
      <c r="G2" s="5" t="inlineStr">
        <is>
          <t>UniFi UBIQUITI</t>
        </is>
      </c>
      <c r="H2" s="5">
        <f>HYPERLINK("https://itrix.uz/product/301", "🔗 Mahsulot sotib olish")</f>
        <v/>
      </c>
      <c r="I2" t="inlineStr">
        <is>
          <t>7-301-303</t>
        </is>
      </c>
    </row>
    <row r="3" ht="30" customHeight="1">
      <c r="A3" s="4" t="inlineStr">
        <is>
          <t>WiFi ulanish nuqtalari</t>
        </is>
      </c>
      <c r="B3" s="4" t="inlineStr">
        <is>
          <t xml:space="preserve"> Ubiquiti UniFi AP AC Pro kirish nuqtasi</t>
        </is>
      </c>
      <c r="C3" s="5" t="inlineStr"/>
      <c r="D3" s="5" t="n">
        <v>2702560</v>
      </c>
      <c r="E3" s="5" t="n">
        <v>2413000</v>
      </c>
      <c r="F3" s="5" t="inlineStr"/>
      <c r="G3" s="5" t="inlineStr">
        <is>
          <t>UniFi UBIQUITI</t>
        </is>
      </c>
      <c r="H3" s="5">
        <f>HYPERLINK("https://itrix.uz/product/297", "🔗 Mahsulot sotib olish")</f>
        <v/>
      </c>
      <c r="I3" t="inlineStr">
        <is>
          <t>7-297-299</t>
        </is>
      </c>
    </row>
    <row r="4" ht="30" customHeight="1">
      <c r="A4" s="4" t="inlineStr">
        <is>
          <t>WiFi ulanish nuqtalari</t>
        </is>
      </c>
      <c r="B4" s="4" t="inlineStr">
        <is>
          <t xml:space="preserve"> Ubiquiti UniFi AP AC Mesh UAP-AC-M kirish nuqtasi</t>
        </is>
      </c>
      <c r="C4" s="5" t="inlineStr"/>
      <c r="D4" s="5" t="n">
        <v>1820245</v>
      </c>
      <c r="E4" s="5" t="n">
        <v>1625219</v>
      </c>
      <c r="F4" s="5" t="n">
        <v>1518920</v>
      </c>
      <c r="G4" s="5" t="inlineStr">
        <is>
          <t>UniFi UBIQUITI</t>
        </is>
      </c>
      <c r="H4" s="5">
        <f>HYPERLINK("https://itrix.uz/product/299", "🔗 Mahsulot sotib olish")</f>
        <v/>
      </c>
      <c r="I4" t="inlineStr">
        <is>
          <t>7-299-301</t>
        </is>
      </c>
    </row>
    <row r="5" ht="30" customHeight="1">
      <c r="A5" s="4" t="inlineStr">
        <is>
          <t>WiFi ulanish nuqtalari</t>
        </is>
      </c>
      <c r="B5" s="4" t="inlineStr">
        <is>
          <t xml:space="preserve"> Ubiquiti UniFi U6 Long Range U6-LR kirish nuqtasi</t>
        </is>
      </c>
      <c r="C5" s="5" t="inlineStr"/>
      <c r="D5" s="5" t="n">
        <v>3946876</v>
      </c>
      <c r="E5" s="5" t="n">
        <v>3523996</v>
      </c>
      <c r="F5" s="5" t="n">
        <v>3032125</v>
      </c>
      <c r="G5" s="5" t="inlineStr">
        <is>
          <t>UniFi UBIQUITI</t>
        </is>
      </c>
      <c r="H5" s="5">
        <f>HYPERLINK("https://itrix.uz/product/300", "🔗 Mahsulot sotib olish")</f>
        <v/>
      </c>
      <c r="I5" t="inlineStr">
        <is>
          <t>7-300-302</t>
        </is>
      </c>
    </row>
    <row r="6" ht="30" customHeight="1">
      <c r="A6" s="4" t="inlineStr">
        <is>
          <t>WiFi ulanish nuqtalari</t>
        </is>
      </c>
      <c r="B6" s="4" t="inlineStr">
        <is>
          <t xml:space="preserve"> Ubiquiti UniFi U6 Plus U6+ kirish nuqtasi</t>
        </is>
      </c>
      <c r="C6" s="5" t="inlineStr"/>
      <c r="D6" s="5" t="n">
        <v>1897339</v>
      </c>
      <c r="E6" s="5" t="n">
        <v>1694053</v>
      </c>
      <c r="F6" s="5" t="n">
        <v>1489710</v>
      </c>
      <c r="G6" s="5" t="inlineStr">
        <is>
          <t>UniFi UBIQUITI</t>
        </is>
      </c>
      <c r="H6" s="5">
        <f>HYPERLINK("https://itrix.uz/product/303", "🔗 Mahsulot sotib olish")</f>
        <v/>
      </c>
      <c r="I6" t="inlineStr">
        <is>
          <t>7-303-305</t>
        </is>
      </c>
    </row>
    <row r="7" ht="30" customHeight="1">
      <c r="A7" s="4" t="inlineStr">
        <is>
          <t>WiFi ulanish nuqtalari</t>
        </is>
      </c>
      <c r="B7" s="4" t="inlineStr">
        <is>
          <t xml:space="preserve"> Ubiquiti UniFi Express UX marshrutizatori va kirish nuqtasi</t>
        </is>
      </c>
      <c r="C7" s="5" t="inlineStr"/>
      <c r="D7" s="5" t="n">
        <v>2503424</v>
      </c>
      <c r="E7" s="5" t="n">
        <v>2235200</v>
      </c>
      <c r="F7" s="5" t="inlineStr"/>
      <c r="G7" s="5" t="inlineStr">
        <is>
          <t>UniFi UBIQUITI</t>
        </is>
      </c>
      <c r="H7" s="5">
        <f>HYPERLINK("https://itrix.uz/product/307", "🔗 Mahsulot sotib olish")</f>
        <v/>
      </c>
      <c r="I7" t="inlineStr">
        <is>
          <t>7-307-309</t>
        </is>
      </c>
    </row>
    <row r="8" ht="30" customHeight="1">
      <c r="A8" s="4" t="inlineStr">
        <is>
          <t>WiFi ulanish nuqtalari</t>
        </is>
      </c>
      <c r="B8" s="4" t="inlineStr">
        <is>
          <t xml:space="preserve"> Ubiquiti airMAX NanoStation Loco 5AC LOCO5AC kirish nuqtasi</t>
        </is>
      </c>
      <c r="C8" s="5" t="inlineStr"/>
      <c r="D8" s="5" t="n">
        <v>1066800</v>
      </c>
      <c r="E8" s="5" t="n">
        <v>952500</v>
      </c>
      <c r="F8" s="5" t="inlineStr"/>
      <c r="G8" s="5" t="inlineStr">
        <is>
          <t>UniFi UBIQUITI</t>
        </is>
      </c>
      <c r="H8" s="5">
        <f>HYPERLINK("https://itrix.uz/product/312", "🔗 Mahsulot sotib olish")</f>
        <v/>
      </c>
      <c r="I8" t="inlineStr">
        <is>
          <t>7-312-314</t>
        </is>
      </c>
    </row>
    <row r="9" ht="30" customHeight="1">
      <c r="A9" s="4" t="inlineStr">
        <is>
          <t>WiFi ulanish nuqtalari</t>
        </is>
      </c>
      <c r="B9" s="4" t="inlineStr">
        <is>
          <t xml:space="preserve"> Ubiquiti airMAX PowerBeam 5AC PBE-5AC-Gen2 radiomosti</t>
        </is>
      </c>
      <c r="C9" s="5" t="inlineStr"/>
      <c r="D9" s="5" t="n">
        <v>3143504</v>
      </c>
      <c r="E9" s="5" t="n">
        <v>2806700</v>
      </c>
      <c r="F9" s="5" t="inlineStr"/>
      <c r="G9" s="5" t="inlineStr">
        <is>
          <t>UniFi UBIQUITI</t>
        </is>
      </c>
      <c r="H9" s="5">
        <f>HYPERLINK("https://itrix.uz/product/314", "🔗 Mahsulot sotib olish")</f>
        <v/>
      </c>
      <c r="I9" t="inlineStr">
        <is>
          <t>7-314-316</t>
        </is>
      </c>
    </row>
    <row r="10" ht="30" customHeight="1">
      <c r="A10" s="4" t="inlineStr">
        <is>
          <t>WiFi ulanish nuqtalari</t>
        </is>
      </c>
      <c r="B10" s="4" t="inlineStr">
        <is>
          <t xml:space="preserve"> Ubiquiti airMAX Lite AP LAP-120 kirish nuqtasi</t>
        </is>
      </c>
      <c r="C10" s="5" t="inlineStr"/>
      <c r="D10" s="5" t="n">
        <v>2574544</v>
      </c>
      <c r="E10" s="5" t="n">
        <v>2298700</v>
      </c>
      <c r="F10" s="5" t="inlineStr"/>
      <c r="G10" s="5" t="inlineStr">
        <is>
          <t>UniFi UBIQUITI</t>
        </is>
      </c>
      <c r="H10" s="5">
        <f>HYPERLINK("https://itrix.uz/product/315", "🔗 Mahsulot sotib olish")</f>
        <v/>
      </c>
      <c r="I10" t="inlineStr">
        <is>
          <t>7-315-317</t>
        </is>
      </c>
    </row>
    <row r="11" ht="30" customHeight="1">
      <c r="A11" s="4" t="inlineStr">
        <is>
          <t>WiFi ulanish nuqtalari</t>
        </is>
      </c>
      <c r="B11" s="4" t="inlineStr">
        <is>
          <t xml:space="preserve"> Wi-Fi router MikroTik hAP ac 2 RBD52G-5HacD2HnD-TC</t>
        </is>
      </c>
      <c r="C11" s="5" t="inlineStr"/>
      <c r="D11" s="5" t="n">
        <v>1225255</v>
      </c>
      <c r="E11" s="5" t="n">
        <v>1093978</v>
      </c>
      <c r="F11" s="5" t="n">
        <v>1022350</v>
      </c>
      <c r="G11" s="5" t="inlineStr">
        <is>
          <t>Mikrotik</t>
        </is>
      </c>
      <c r="H11" s="5">
        <f>HYPERLINK("https://itrix.uz/product/316", "🔗 Mahsulot sotib olish")</f>
        <v/>
      </c>
      <c r="I11" t="inlineStr">
        <is>
          <t>7-316-318</t>
        </is>
      </c>
    </row>
    <row r="12" ht="30" customHeight="1">
      <c r="A12" s="4" t="inlineStr">
        <is>
          <t>WiFi ulanish nuqtalari</t>
        </is>
      </c>
      <c r="B12" s="4" t="inlineStr">
        <is>
          <t>MikroTik CAP RBcAP2nD kirish nuqtasi</t>
        </is>
      </c>
      <c r="C12" s="5" t="inlineStr"/>
      <c r="D12" s="5" t="n">
        <v>1265936</v>
      </c>
      <c r="E12" s="5" t="n">
        <v>1130300</v>
      </c>
      <c r="F12" s="5" t="inlineStr"/>
      <c r="G12" s="5" t="inlineStr">
        <is>
          <t>Mikrotik</t>
        </is>
      </c>
      <c r="H12" s="5">
        <f>HYPERLINK("https://itrix.uz/product/254", "🔗 Mahsulot sotib olish")</f>
        <v/>
      </c>
      <c r="I12" t="inlineStr">
        <is>
          <t>7-254-256</t>
        </is>
      </c>
    </row>
    <row r="13" ht="30" customHeight="1">
      <c r="A13" s="4" t="inlineStr">
        <is>
          <t>WiFi ulanish nuqtalari</t>
        </is>
      </c>
      <c r="B13" s="4" t="inlineStr">
        <is>
          <t>MikroTik CAP AC RBcAPGi-5acD2nD kirish nuqtasi</t>
        </is>
      </c>
      <c r="C13" s="5" t="inlineStr"/>
      <c r="D13" s="5" t="n">
        <v>1223264</v>
      </c>
      <c r="E13" s="5" t="n">
        <v>1092200</v>
      </c>
      <c r="F13" s="5" t="inlineStr"/>
      <c r="G13" s="5" t="inlineStr">
        <is>
          <t>Mikrotik</t>
        </is>
      </c>
      <c r="H13" s="5">
        <f>HYPERLINK("https://itrix.uz/product/253", "🔗 Mahsulot sotib olish")</f>
        <v/>
      </c>
      <c r="I13" t="inlineStr">
        <is>
          <t>7-253-255</t>
        </is>
      </c>
    </row>
    <row r="14" ht="30" customHeight="1">
      <c r="A14" s="4" t="inlineStr">
        <is>
          <t>WiFi ulanish nuqtalari</t>
        </is>
      </c>
      <c r="B14" s="4" t="inlineStr">
        <is>
          <t xml:space="preserve"> Ubiquiti UniFi U6 Extender U6-Extender kirish nuqtasi</t>
        </is>
      </c>
      <c r="C14" s="5" t="inlineStr"/>
      <c r="D14" s="5" t="n">
        <v>2794305</v>
      </c>
      <c r="E14" s="5" t="n">
        <v>2494915</v>
      </c>
      <c r="F14" s="5" t="n">
        <v>2331720</v>
      </c>
      <c r="G14" s="5" t="inlineStr">
        <is>
          <t>UniFi UBIQUITI</t>
        </is>
      </c>
      <c r="H14" s="5">
        <f>HYPERLINK("https://itrix.uz/product/305", "🔗 Mahsulot sotib olish")</f>
        <v/>
      </c>
      <c r="I14" t="inlineStr">
        <is>
          <t>7-305-307</t>
        </is>
      </c>
    </row>
    <row r="15" ht="30" customHeight="1">
      <c r="A15" s="4" t="inlineStr">
        <is>
          <t>WiFi ulanish nuqtalari</t>
        </is>
      </c>
      <c r="B15" s="4" t="inlineStr">
        <is>
          <t xml:space="preserve"> MikroTik Disc Lite5 RBDisc-5nD kirish nuqtasi</t>
        </is>
      </c>
      <c r="C15" s="5" t="inlineStr"/>
      <c r="D15" s="5" t="n">
        <v>1265936</v>
      </c>
      <c r="E15" s="5" t="n">
        <v>1130300</v>
      </c>
      <c r="F15" s="5" t="inlineStr"/>
      <c r="G15" s="5" t="inlineStr">
        <is>
          <t>Mikrotik</t>
        </is>
      </c>
      <c r="H15" s="5">
        <f>HYPERLINK("https://itrix.uz/product/255", "🔗 Mahsulot sotib olish")</f>
        <v/>
      </c>
      <c r="I15" t="inlineStr">
        <is>
          <t>7-255-257</t>
        </is>
      </c>
    </row>
    <row r="16" ht="30" customHeight="1">
      <c r="A16" s="4" t="inlineStr">
        <is>
          <t>WiFi ulanish nuqtalari</t>
        </is>
      </c>
      <c r="B16" s="4" t="inlineStr">
        <is>
          <t xml:space="preserve"> Ubiquiti UniFi U6 Mesh U6-MESH kirish nuqtasi</t>
        </is>
      </c>
      <c r="C16" s="5" t="inlineStr"/>
      <c r="D16" s="5" t="n">
        <v>3695964</v>
      </c>
      <c r="E16" s="5" t="n">
        <v>3299968</v>
      </c>
      <c r="F16" s="5" t="n">
        <v>2834640</v>
      </c>
      <c r="G16" s="5" t="inlineStr">
        <is>
          <t>UniFi UBIQUITI</t>
        </is>
      </c>
      <c r="H16" s="5">
        <f>HYPERLINK("https://itrix.uz/product/304", "🔗 Mahsulot sotib olish")</f>
        <v/>
      </c>
      <c r="I16" t="inlineStr">
        <is>
          <t>7-304-306</t>
        </is>
      </c>
    </row>
    <row r="17" ht="30" customHeight="1">
      <c r="A17" s="4" t="inlineStr">
        <is>
          <t>WiFi ulanish nuqtalari</t>
        </is>
      </c>
      <c r="B17" s="4" t="inlineStr">
        <is>
          <t xml:space="preserve"> Ubiquiti UniFi U6 In Wall U6-IW kirish nuqtasi</t>
        </is>
      </c>
      <c r="C17" s="5" t="inlineStr"/>
      <c r="D17" s="5" t="n">
        <v>3385312</v>
      </c>
      <c r="E17" s="5" t="n">
        <v>3022600</v>
      </c>
      <c r="F17" s="5" t="inlineStr"/>
      <c r="G17" s="5" t="inlineStr">
        <is>
          <t>UniFi UBIQUITI</t>
        </is>
      </c>
      <c r="H17" s="5">
        <f>HYPERLINK("https://itrix.uz/product/306", "🔗 Mahsulot sotib olish")</f>
        <v/>
      </c>
      <c r="I17" t="inlineStr">
        <is>
          <t>7-306-308</t>
        </is>
      </c>
    </row>
    <row r="18" ht="30" customHeight="1">
      <c r="A18" s="4" t="inlineStr">
        <is>
          <t>WiFi ulanish nuqtalari</t>
        </is>
      </c>
      <c r="B18" s="4" t="inlineStr">
        <is>
          <t xml:space="preserve"> Ubiquiti airMAX LiteBeam 5AC Gen 2 LBE-5AC-GEN2 radiomosti</t>
        </is>
      </c>
      <c r="C18" s="5" t="inlineStr"/>
      <c r="D18" s="5" t="n">
        <v>1393952</v>
      </c>
      <c r="E18" s="5" t="n">
        <v>1244600</v>
      </c>
      <c r="F18" s="5" t="inlineStr"/>
      <c r="G18" s="5" t="inlineStr">
        <is>
          <t>UniFi UBIQUITI</t>
        </is>
      </c>
      <c r="H18" s="5">
        <f>HYPERLINK("https://itrix.uz/product/313", "🔗 Mahsulot sotib olish")</f>
        <v/>
      </c>
      <c r="I18" t="inlineStr">
        <is>
          <t>7-313-315</t>
        </is>
      </c>
    </row>
    <row r="19" ht="30" customHeight="1">
      <c r="A19" s="4" t="inlineStr">
        <is>
          <t>WiFi ulanish nuqtalari</t>
        </is>
      </c>
      <c r="B19" s="4" t="inlineStr">
        <is>
          <t xml:space="preserve"> Ubiquiti UniFi AC Swiss Army Knife UK-Ultra kirish nuqtasi</t>
        </is>
      </c>
      <c r="C19" s="5" t="inlineStr"/>
      <c r="D19" s="5" t="n">
        <v>2467864</v>
      </c>
      <c r="E19" s="5" t="n">
        <v>2203450</v>
      </c>
      <c r="F19" s="5" t="n">
        <v>2059305</v>
      </c>
      <c r="G19" s="5" t="inlineStr">
        <is>
          <t>UniFi UBIQUITI</t>
        </is>
      </c>
      <c r="H19" s="5">
        <f>HYPERLINK("https://itrix.uz/product/298", "🔗 Mahsulot sotib olish")</f>
        <v/>
      </c>
      <c r="I19" t="inlineStr">
        <is>
          <t>7-298-300</t>
        </is>
      </c>
    </row>
    <row r="20" ht="30" customHeight="1">
      <c r="A20" s="4" t="inlineStr">
        <is>
          <t>WiFi ulanish nuqtalari</t>
        </is>
      </c>
      <c r="B20" s="4" t="inlineStr">
        <is>
          <t xml:space="preserve"> Ubiquiti UniFi U6 Pro U6-Pro kirish nuqtasi</t>
        </is>
      </c>
      <c r="C20" s="5" t="inlineStr"/>
      <c r="D20" s="5" t="n">
        <v>2870403</v>
      </c>
      <c r="E20" s="5" t="n">
        <v>2562860</v>
      </c>
      <c r="F20" s="5" t="n">
        <v>2395220</v>
      </c>
      <c r="G20" s="5" t="inlineStr">
        <is>
          <t>UniFi UBIQUITI</t>
        </is>
      </c>
      <c r="H20" s="5">
        <f>HYPERLINK("https://itrix.uz/product/302", "🔗 Mahsulot sotib olish")</f>
        <v/>
      </c>
      <c r="I20" t="inlineStr">
        <is>
          <t>7-302-304</t>
        </is>
      </c>
    </row>
    <row r="21" ht="30" customHeight="1">
      <c r="A21" s="4" t="inlineStr">
        <is>
          <t>WiFi ulanish nuqtalari</t>
        </is>
      </c>
      <c r="B21" s="4" t="inlineStr">
        <is>
          <t>H3C WA6120 simsiz kirish nuqtasi (Access Point)</t>
        </is>
      </c>
      <c r="C21" s="5" t="inlineStr"/>
      <c r="D21" s="5" t="n">
        <v>1337056</v>
      </c>
      <c r="E21" s="5" t="n">
        <v>1193800</v>
      </c>
      <c r="F21" s="5" t="inlineStr"/>
      <c r="G21" s="5" t="inlineStr">
        <is>
          <t>H3C</t>
        </is>
      </c>
      <c r="H21" s="5">
        <f>HYPERLINK("https://itrix.uz/product/209", "🔗 Mahsulot sotib olish")</f>
        <v/>
      </c>
      <c r="I21" t="inlineStr">
        <is>
          <t>7-209-211</t>
        </is>
      </c>
    </row>
    <row r="22" ht="30" customHeight="1">
      <c r="A22" s="4" t="inlineStr">
        <is>
          <t>WiFi ulanish nuqtalari</t>
        </is>
      </c>
      <c r="B22" s="4" t="inlineStr">
        <is>
          <t>H3C WA6120X tashqi (outdoor) simsiz kirish nuqtasi (Access Point)</t>
        </is>
      </c>
      <c r="C22" s="5" t="inlineStr"/>
      <c r="D22" s="5" t="n">
        <v>4850384</v>
      </c>
      <c r="E22" s="5" t="n">
        <v>4330700</v>
      </c>
      <c r="F22" s="5" t="inlineStr"/>
      <c r="G22" s="5" t="inlineStr">
        <is>
          <t>H3C</t>
        </is>
      </c>
      <c r="H22" s="5">
        <f>HYPERLINK("https://itrix.uz/product/210", "🔗 Mahsulot sotib olish")</f>
        <v/>
      </c>
      <c r="I22" t="inlineStr">
        <is>
          <t>7-210-212</t>
        </is>
      </c>
    </row>
    <row r="23">
      <c r="A23" s="4" t="inlineStr">
        <is>
          <t>WiFi ulanish nuqtalari</t>
        </is>
      </c>
      <c r="B23" s="4" t="inlineStr">
        <is>
          <t>MikroTik SXTsq Lite5 RBSXTsq5nD kirish nuqtasi — 5GHz CPE qurilmasi, tashqi foydalanish uchun simsiz tarmoq nuqtasi</t>
        </is>
      </c>
      <c r="C23" s="5" t="inlineStr"/>
      <c r="D23" s="5" t="n">
        <v>840069</v>
      </c>
      <c r="E23" s="5" t="n">
        <v>750062</v>
      </c>
      <c r="F23" s="5" t="n">
        <v>613410</v>
      </c>
      <c r="G23" s="5" t="inlineStr">
        <is>
          <t>Mikrotik</t>
        </is>
      </c>
      <c r="H23" s="5">
        <f>HYPERLINK("https://itrix.uz/product/248", "🔗 Mahsulot sotib olish")</f>
        <v/>
      </c>
      <c r="I23" t="inlineStr">
        <is>
          <t>7-248-250</t>
        </is>
      </c>
    </row>
    <row r="24">
      <c r="A24" s="4" t="inlineStr">
        <is>
          <t>WiFi ulanish nuqtalari</t>
        </is>
      </c>
      <c r="B24" s="4" t="inlineStr">
        <is>
          <t>MikroTik wAP ac (oq) RBwAPG-5HacD2HnD kirish nuqtasi — 2.4GHz va 5GHz, tashqi va ichki foydalanish uchun Wi-Fi nuqta</t>
        </is>
      </c>
      <c r="C24" s="5" t="inlineStr"/>
      <c r="D24" s="5" t="n">
        <v>1265936</v>
      </c>
      <c r="E24" s="5" t="n">
        <v>1130300</v>
      </c>
      <c r="F24" s="5" t="inlineStr"/>
      <c r="G24" s="5" t="inlineStr">
        <is>
          <t>Mikrotik</t>
        </is>
      </c>
      <c r="H24" s="5">
        <f>HYPERLINK("https://itrix.uz/product/252", "🔗 Mahsulot sotib olish")</f>
        <v/>
      </c>
      <c r="I24" t="inlineStr">
        <is>
          <t>7-252-254</t>
        </is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tabColor rgb="009C981D"/>
    <outlinePr summaryBelow="1" summaryRight="1"/>
    <pageSetUpPr/>
  </sheetPr>
  <dimension ref="A1:I96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 ht="30" customHeight="1">
      <c r="A2" s="4" t="inlineStr">
        <is>
          <t>Abonent terminal qurilmalari (ONU / ONT)</t>
        </is>
      </c>
      <c r="B2" s="4" t="inlineStr">
        <is>
          <t>Abonent terminali ONU BDCOM GPON, 2 port 10/100/1000Base-T</t>
        </is>
      </c>
      <c r="C2" s="5" t="inlineStr"/>
      <c r="D2" s="5" t="n">
        <v>722721</v>
      </c>
      <c r="E2" s="5" t="n">
        <v>645287</v>
      </c>
      <c r="F2" s="5" t="inlineStr"/>
      <c r="G2" s="5" t="inlineStr"/>
      <c r="H2" s="5">
        <f>HYPERLINK("https://itrix.uz/product/800", "🔗 Mahsulot sotib olish")</f>
        <v/>
      </c>
      <c r="I2" t="inlineStr">
        <is>
          <t>43-800-703</t>
        </is>
      </c>
    </row>
    <row r="3" ht="30" customHeight="1">
      <c r="A3" s="4" t="inlineStr">
        <is>
          <t>SFP modullar</t>
        </is>
      </c>
      <c r="B3" s="4" t="inlineStr">
        <is>
          <t>SFP WDM moduli, 3 km gacha (6dB), 1310nm</t>
        </is>
      </c>
      <c r="C3" s="5" t="inlineStr"/>
      <c r="D3" s="5" t="n">
        <v>207955</v>
      </c>
      <c r="E3" s="5" t="n">
        <v>185674</v>
      </c>
      <c r="F3" s="5" t="inlineStr"/>
      <c r="G3" s="5" t="inlineStr">
        <is>
          <t>SNR</t>
        </is>
      </c>
      <c r="H3" s="5">
        <f>HYPERLINK("https://itrix.uz/product/788", "🔗 Mahsulot sotib olish")</f>
        <v/>
      </c>
      <c r="I3" t="inlineStr">
        <is>
          <t>43-788-771</t>
        </is>
      </c>
    </row>
    <row r="4" ht="30" customHeight="1">
      <c r="A4" s="4" t="inlineStr">
        <is>
          <t>Abonent terminal qurilmalari (ONU / ONT)</t>
        </is>
      </c>
      <c r="B4" s="4" t="inlineStr">
        <is>
          <t>Abonent terminali ONU GPON, 1 port 10/100/1000Base-T, RF</t>
        </is>
      </c>
      <c r="C4" s="5" t="inlineStr"/>
      <c r="D4" s="5" t="n">
        <v>518607</v>
      </c>
      <c r="E4" s="5" t="n">
        <v>463042</v>
      </c>
      <c r="F4" s="5" t="inlineStr"/>
      <c r="G4" s="5" t="inlineStr"/>
      <c r="H4" s="5">
        <f>HYPERLINK("https://itrix.uz/product/737", "🔗 Mahsulot sotib olish")</f>
        <v/>
      </c>
      <c r="I4" t="inlineStr">
        <is>
          <t>43-737-648</t>
        </is>
      </c>
    </row>
    <row r="5" ht="30" customHeight="1">
      <c r="A5" s="4" t="inlineStr">
        <is>
          <t>SFP modullar</t>
        </is>
      </c>
      <c r="B5" s="4" t="inlineStr">
        <is>
          <t>Optik CWDM SFP moduli, 60 km gacha (17dB), 1490nm</t>
        </is>
      </c>
      <c r="C5" s="5" t="inlineStr"/>
      <c r="D5" s="5" t="n">
        <v>1318138</v>
      </c>
      <c r="E5" s="5" t="n">
        <v>1176909</v>
      </c>
      <c r="F5" s="5" t="inlineStr"/>
      <c r="G5" s="5" t="inlineStr">
        <is>
          <t>SNR</t>
        </is>
      </c>
      <c r="H5" s="5">
        <f>HYPERLINK("https://itrix.uz/product/785", "🔗 Mahsulot sotib olish")</f>
        <v/>
      </c>
      <c r="I5" t="inlineStr">
        <is>
          <t>43-785-639</t>
        </is>
      </c>
    </row>
    <row r="6" ht="30" customHeight="1">
      <c r="A6" s="4" t="inlineStr">
        <is>
          <t>SFP+ modullar</t>
        </is>
      </c>
      <c r="B6" s="4" t="inlineStr">
        <is>
          <t>SFP+ 10G moduli RJ45 interfeysi bilan, 20m gacha</t>
        </is>
      </c>
      <c r="C6" s="5" t="inlineStr"/>
      <c r="D6" s="5" t="n">
        <v>1148446</v>
      </c>
      <c r="E6" s="5" t="n">
        <v>1025398</v>
      </c>
      <c r="F6" s="5" t="inlineStr"/>
      <c r="G6" s="5" t="inlineStr">
        <is>
          <t>SNR</t>
        </is>
      </c>
      <c r="H6" s="5">
        <f>HYPERLINK("https://itrix.uz/product/739", "🔗 Mahsulot sotib olish")</f>
        <v/>
      </c>
      <c r="I6" t="inlineStr">
        <is>
          <t>43-739-650</t>
        </is>
      </c>
    </row>
    <row r="7" ht="30" customHeight="1">
      <c r="A7" s="4" t="inlineStr">
        <is>
          <t>QSFP+ modullar</t>
        </is>
      </c>
      <c r="B7" s="4" t="inlineStr">
        <is>
          <t>Ikki tolali modul, QSFP+ 40GBASE-LR4, LC ulagich, masofa 20 km gacha</t>
        </is>
      </c>
      <c r="C7" s="5" t="inlineStr"/>
      <c r="D7" s="5" t="n">
        <v>6585996</v>
      </c>
      <c r="E7" s="5" t="n">
        <v>5880354</v>
      </c>
      <c r="F7" s="5" t="inlineStr"/>
      <c r="G7" s="5" t="inlineStr"/>
      <c r="H7" s="5">
        <f>HYPERLINK("https://itrix.uz/product/738", "🔗 Mahsulot sotib olish")</f>
        <v/>
      </c>
      <c r="I7" t="inlineStr">
        <is>
          <t>43-738-649</t>
        </is>
      </c>
    </row>
    <row r="8" ht="30" customHeight="1">
      <c r="A8" s="4" t="inlineStr">
        <is>
          <t>QSFP+ modullar</t>
        </is>
      </c>
      <c r="B8" s="4" t="inlineStr">
        <is>
          <t>QSFP+ 40GBASE-SR4 moduli, MPO rozemi, 100m gacha masofa</t>
        </is>
      </c>
      <c r="C8" s="5" t="inlineStr"/>
      <c r="D8" s="5" t="n">
        <v>1895632</v>
      </c>
      <c r="E8" s="5" t="n">
        <v>1692529</v>
      </c>
      <c r="F8" s="5" t="inlineStr"/>
      <c r="G8" s="5" t="inlineStr">
        <is>
          <t>SNR</t>
        </is>
      </c>
      <c r="H8" s="5">
        <f>HYPERLINK("https://itrix.uz/product/749", "🔗 Mahsulot sotib olish")</f>
        <v/>
      </c>
      <c r="I8" t="inlineStr">
        <is>
          <t>43-749-659</t>
        </is>
      </c>
    </row>
    <row r="9" ht="30" customHeight="1">
      <c r="A9" s="4" t="inlineStr">
        <is>
          <t>SFP+ modullar</t>
        </is>
      </c>
      <c r="B9" s="4" t="inlineStr">
        <is>
          <t>SFP+ DWDM optik moduli, 80 km gacha masofa (24dB), 1529.55nm</t>
        </is>
      </c>
      <c r="C9" s="5" t="inlineStr"/>
      <c r="D9" s="5" t="n">
        <v>8666683</v>
      </c>
      <c r="E9" s="5" t="n">
        <v>7738110</v>
      </c>
      <c r="F9" s="5" t="inlineStr"/>
      <c r="G9" s="5" t="inlineStr">
        <is>
          <t>SNR</t>
        </is>
      </c>
      <c r="H9" s="5">
        <f>HYPERLINK("https://itrix.uz/product/762", "🔗 Mahsulot sotib olish")</f>
        <v/>
      </c>
      <c r="I9" t="inlineStr">
        <is>
          <t>43-762-671</t>
        </is>
      </c>
    </row>
    <row r="10" ht="30" customHeight="1">
      <c r="A10" s="4" t="inlineStr">
        <is>
          <t>SFP modullar</t>
        </is>
      </c>
      <c r="B10" s="4" t="inlineStr">
        <is>
          <t>100M SFP modul, RJ45 interfeysi bilan, 100 metr gacha</t>
        </is>
      </c>
      <c r="C10" s="5" t="inlineStr"/>
      <c r="D10" s="5" t="n">
        <v>955142</v>
      </c>
      <c r="E10" s="5" t="n">
        <v>852805</v>
      </c>
      <c r="F10" s="5" t="inlineStr"/>
      <c r="G10" s="5" t="inlineStr">
        <is>
          <t>SNR</t>
        </is>
      </c>
      <c r="H10" s="5">
        <f>HYPERLINK("https://itrix.uz/product/681", "🔗 Mahsulot sotib olish")</f>
        <v/>
      </c>
      <c r="I10" t="inlineStr">
        <is>
          <t>43-681-626</t>
        </is>
      </c>
    </row>
    <row r="11" ht="30" customHeight="1">
      <c r="A11" s="4" t="inlineStr">
        <is>
          <t>SFP modullar</t>
        </is>
      </c>
      <c r="B11" s="4" t="inlineStr">
        <is>
          <t>B-OptiX SFP WDM moduli, 20 km gacha masofa LC (14dB), 1550nm</t>
        </is>
      </c>
      <c r="C11" s="5" t="inlineStr"/>
      <c r="D11" s="5" t="n">
        <v>279359</v>
      </c>
      <c r="E11" s="5" t="n">
        <v>249428</v>
      </c>
      <c r="F11" s="5" t="inlineStr"/>
      <c r="G11" s="5" t="inlineStr"/>
      <c r="H11" s="5">
        <f>HYPERLINK("https://itrix.uz/product/816", "🔗 Mahsulot sotib olish")</f>
        <v/>
      </c>
      <c r="I11" t="inlineStr">
        <is>
          <t>43-816-719</t>
        </is>
      </c>
    </row>
    <row r="12" ht="30" customHeight="1">
      <c r="A12" s="4" t="inlineStr">
        <is>
          <t>SFP+ modullar</t>
        </is>
      </c>
      <c r="B12" s="4" t="inlineStr">
        <is>
          <t>SFP+ DWDM optik moduli, 80 km gacha masofa (24dB), 1549.32nm</t>
        </is>
      </c>
      <c r="C12" s="5" t="inlineStr"/>
      <c r="D12" s="5" t="n">
        <v>8666683</v>
      </c>
      <c r="E12" s="5" t="n">
        <v>7738110</v>
      </c>
      <c r="F12" s="5" t="inlineStr"/>
      <c r="G12" s="5" t="inlineStr">
        <is>
          <t>SNR</t>
        </is>
      </c>
      <c r="H12" s="5">
        <f>HYPERLINK("https://itrix.uz/product/765", "🔗 Mahsulot sotib olish")</f>
        <v/>
      </c>
      <c r="I12" t="inlineStr">
        <is>
          <t>43-765-674</t>
        </is>
      </c>
    </row>
    <row r="13" ht="30" customHeight="1">
      <c r="A13" s="4" t="inlineStr">
        <is>
          <t>Abonent terminal qurilmalari (ONU / ONT)</t>
        </is>
      </c>
      <c r="B13" s="4" t="inlineStr">
        <is>
          <t>ONU GPON abonent terminali, 4 ta 10/100/1000Base-T port, WiFi 2.4/5, C+</t>
        </is>
      </c>
      <c r="C13" s="5" t="inlineStr"/>
      <c r="D13" s="5" t="n">
        <v>808634</v>
      </c>
      <c r="E13" s="5" t="n">
        <v>721995</v>
      </c>
      <c r="F13" s="5" t="inlineStr"/>
      <c r="G13" s="5" t="inlineStr"/>
      <c r="H13" s="5">
        <f>HYPERLINK("https://itrix.uz/product/684", "🔗 Mahsulot sotib olish")</f>
        <v/>
      </c>
      <c r="I13" t="inlineStr">
        <is>
          <t>43-684-629</t>
        </is>
      </c>
    </row>
    <row r="14" ht="30" customHeight="1">
      <c r="A14" s="4" t="inlineStr">
        <is>
          <t>Optik bo‘luvchi</t>
        </is>
      </c>
      <c r="B14" s="4" t="inlineStr">
        <is>
          <t>PLC-M-1x2 optik splitter, korpusisiz, tugallanmagan</t>
        </is>
      </c>
      <c r="C14" s="5" t="inlineStr"/>
      <c r="D14" s="5" t="n">
        <v>73396</v>
      </c>
      <c r="E14" s="5" t="n">
        <v>65532</v>
      </c>
      <c r="F14" s="5" t="inlineStr"/>
      <c r="G14" s="5" t="inlineStr">
        <is>
          <t>SNR</t>
        </is>
      </c>
      <c r="H14" s="5">
        <f>HYPERLINK("https://itrix.uz/product/687", "🔗 Mahsulot sotib olish")</f>
        <v/>
      </c>
      <c r="I14" t="inlineStr">
        <is>
          <t>43-687-631</t>
        </is>
      </c>
    </row>
    <row r="15" ht="30" customHeight="1">
      <c r="A15" s="4" t="inlineStr">
        <is>
          <t>SFP+ modullar</t>
        </is>
      </c>
      <c r="B15" s="4" t="inlineStr">
        <is>
          <t>SFP+ optik moduli, 20 km gacha masofa (11dB), 1310nm</t>
        </is>
      </c>
      <c r="C15" s="5" t="inlineStr"/>
      <c r="D15" s="5" t="n">
        <v>650890</v>
      </c>
      <c r="E15" s="5" t="n">
        <v>581152</v>
      </c>
      <c r="F15" s="5" t="inlineStr"/>
      <c r="G15" s="5" t="inlineStr">
        <is>
          <t>SNR</t>
        </is>
      </c>
      <c r="H15" s="5">
        <f>HYPERLINK("https://itrix.uz/product/817", "🔗 Mahsulot sotib olish")</f>
        <v/>
      </c>
      <c r="I15" t="inlineStr">
        <is>
          <t>43-817-720</t>
        </is>
      </c>
    </row>
    <row r="16" ht="30" customHeight="1">
      <c r="A16" s="4" t="inlineStr">
        <is>
          <t>SFP+ modullar</t>
        </is>
      </c>
      <c r="B16" s="4" t="inlineStr">
        <is>
          <t>B-OptiX SFP+ optik moduli, 300 metr gacha masofa, 850nm</t>
        </is>
      </c>
      <c r="C16" s="5" t="inlineStr"/>
      <c r="D16" s="5" t="n">
        <v>330424</v>
      </c>
      <c r="E16" s="5" t="n">
        <v>295021</v>
      </c>
      <c r="F16" s="5" t="inlineStr"/>
      <c r="G16" s="5" t="inlineStr"/>
      <c r="H16" s="5">
        <f>HYPERLINK("https://itrix.uz/product/695", "🔗 Mahsulot sotib olish")</f>
        <v/>
      </c>
      <c r="I16" t="inlineStr">
        <is>
          <t>43-695-635</t>
        </is>
      </c>
    </row>
    <row r="17" ht="30" customHeight="1">
      <c r="A17" s="4" t="inlineStr">
        <is>
          <t>SFP+ modullar</t>
        </is>
      </c>
      <c r="B17" s="4" t="inlineStr">
        <is>
          <t>SFP+ WDM moduli, 40 km gacha masofa (16dB), 1330nm</t>
        </is>
      </c>
      <c r="C17" s="5" t="inlineStr"/>
      <c r="D17" s="5" t="n">
        <v>1300216</v>
      </c>
      <c r="E17" s="5" t="n">
        <v>1160907</v>
      </c>
      <c r="F17" s="5" t="inlineStr"/>
      <c r="G17" s="5" t="inlineStr">
        <is>
          <t>SNR</t>
        </is>
      </c>
      <c r="H17" s="5">
        <f>HYPERLINK("https://itrix.uz/product/767", "🔗 Mahsulot sotib olish")</f>
        <v/>
      </c>
      <c r="I17" t="inlineStr">
        <is>
          <t>43-767-676</t>
        </is>
      </c>
    </row>
    <row r="18" ht="30" customHeight="1">
      <c r="A18" s="4" t="inlineStr">
        <is>
          <t>Optik bo‘luvchi</t>
        </is>
      </c>
      <c r="B18" s="4" t="inlineStr">
        <is>
          <t>Optik bo‘luvchi korpusli uchta oynali 1x2 SC/APC</t>
        </is>
      </c>
      <c r="C18" s="5" t="inlineStr"/>
      <c r="D18" s="5" t="n">
        <v>97719</v>
      </c>
      <c r="E18" s="5" t="n">
        <v>87249</v>
      </c>
      <c r="F18" s="5" t="inlineStr"/>
      <c r="G18" s="5" t="inlineStr"/>
      <c r="H18" s="5">
        <f>HYPERLINK("https://itrix.uz/product/779", "🔗 Mahsulot sotib olish")</f>
        <v/>
      </c>
      <c r="I18" t="inlineStr">
        <is>
          <t>43-779-686</t>
        </is>
      </c>
    </row>
    <row r="19" ht="30" customHeight="1">
      <c r="A19" s="4" t="inlineStr">
        <is>
          <t>SFP modullar</t>
        </is>
      </c>
      <c r="B19" s="4" t="inlineStr">
        <is>
          <t>SFP optik moduli, 20 km gacha masofa (14dB), 1550nm, sanoat versiyasi</t>
        </is>
      </c>
      <c r="C19" s="5" t="inlineStr"/>
      <c r="D19" s="5" t="n">
        <v>507655</v>
      </c>
      <c r="E19" s="5" t="n">
        <v>453263</v>
      </c>
      <c r="F19" s="5" t="inlineStr"/>
      <c r="G19" s="5" t="inlineStr">
        <is>
          <t>SNR</t>
        </is>
      </c>
      <c r="H19" s="5">
        <f>HYPERLINK("https://itrix.uz/product/744", "🔗 Mahsulot sotib olish")</f>
        <v/>
      </c>
      <c r="I19" t="inlineStr">
        <is>
          <t>43-744-654</t>
        </is>
      </c>
    </row>
    <row r="20" ht="30" customHeight="1">
      <c r="A20" s="4" t="inlineStr">
        <is>
          <t>SFP modullar</t>
        </is>
      </c>
      <c r="B20" s="4" t="inlineStr">
        <is>
          <t>B-OptiX SFP moduli RJ45 interfeysi bilan, 100m gacha</t>
        </is>
      </c>
      <c r="C20" s="5" t="inlineStr"/>
      <c r="D20" s="5" t="n">
        <v>338531</v>
      </c>
      <c r="E20" s="5" t="n">
        <v>302260</v>
      </c>
      <c r="F20" s="5" t="inlineStr"/>
      <c r="G20" s="5" t="inlineStr"/>
      <c r="H20" s="5">
        <f>HYPERLINK("https://itrix.uz/product/727", "🔗 Mahsulot sotib olish")</f>
        <v/>
      </c>
      <c r="I20" t="inlineStr">
        <is>
          <t>43-727-636</t>
        </is>
      </c>
    </row>
    <row r="21" ht="30" customHeight="1">
      <c r="A21" s="4" t="inlineStr">
        <is>
          <t>SFP+ modullar</t>
        </is>
      </c>
      <c r="B21" s="4" t="inlineStr">
        <is>
          <t>SFP+ WDM moduli, 3 km gacha masofa (5dB), 1330nm</t>
        </is>
      </c>
      <c r="C21" s="5" t="inlineStr"/>
      <c r="D21" s="5" t="n">
        <v>856285</v>
      </c>
      <c r="E21" s="5" t="n">
        <v>764540</v>
      </c>
      <c r="F21" s="5" t="inlineStr"/>
      <c r="G21" s="5" t="inlineStr">
        <is>
          <t>SNR</t>
        </is>
      </c>
      <c r="H21" s="5">
        <f>HYPERLINK("https://itrix.uz/product/736", "🔗 Mahsulot sotib olish")</f>
        <v/>
      </c>
      <c r="I21" t="inlineStr">
        <is>
          <t>43-736-647</t>
        </is>
      </c>
    </row>
    <row r="22" ht="30" customHeight="1">
      <c r="A22" s="4" t="inlineStr">
        <is>
          <t>SFP modullar</t>
        </is>
      </c>
      <c r="B22" s="4" t="inlineStr">
        <is>
          <t>B-OptiX SFP WDM moduli, 20km gacha masofa LC (14dB), 1310nm</t>
        </is>
      </c>
      <c r="C22" s="5" t="inlineStr"/>
      <c r="D22" s="5" t="n">
        <v>198140</v>
      </c>
      <c r="E22" s="5" t="n">
        <v>176911</v>
      </c>
      <c r="F22" s="5" t="inlineStr"/>
      <c r="G22" s="5" t="inlineStr"/>
      <c r="H22" s="5">
        <f>HYPERLINK("https://itrix.uz/product/728", "🔗 Mahsulot sotib olish")</f>
        <v/>
      </c>
      <c r="I22" t="inlineStr">
        <is>
          <t>43-728-637</t>
        </is>
      </c>
    </row>
    <row r="23" ht="30" customHeight="1">
      <c r="A23" s="4" t="inlineStr">
        <is>
          <t>SFP modullar</t>
        </is>
      </c>
      <c r="B23" s="4" t="inlineStr">
        <is>
          <t>Optik CWDM SFP moduli, 60 km gacha (17dB), 1610nm</t>
        </is>
      </c>
      <c r="C23" s="5" t="inlineStr"/>
      <c r="D23" s="5" t="n">
        <v>1318138</v>
      </c>
      <c r="E23" s="5" t="n">
        <v>1176909</v>
      </c>
      <c r="F23" s="5" t="inlineStr"/>
      <c r="G23" s="5" t="inlineStr">
        <is>
          <t>SNR</t>
        </is>
      </c>
      <c r="H23" s="5">
        <f>HYPERLINK("https://itrix.uz/product/780", "🔗 Mahsulot sotib olish")</f>
        <v/>
      </c>
      <c r="I23" t="inlineStr">
        <is>
          <t>43-780-687</t>
        </is>
      </c>
    </row>
    <row r="24" ht="30" customHeight="1">
      <c r="A24" s="4" t="inlineStr">
        <is>
          <t>Taqsimlash qutilari</t>
        </is>
      </c>
      <c r="B24" s="4" t="inlineStr">
        <is>
          <t>SNR-FTTH-FDB-48A optik taqsimlash qutisi</t>
        </is>
      </c>
      <c r="C24" s="5" t="inlineStr"/>
      <c r="D24" s="5" t="n">
        <v>424729</v>
      </c>
      <c r="E24" s="5" t="n">
        <v>379222</v>
      </c>
      <c r="F24" s="5" t="inlineStr"/>
      <c r="G24" s="5" t="inlineStr">
        <is>
          <t>SNR</t>
        </is>
      </c>
      <c r="H24" s="5">
        <f>HYPERLINK("https://itrix.uz/product/683", "🔗 Mahsulot sotib olish")</f>
        <v/>
      </c>
      <c r="I24" t="inlineStr">
        <is>
          <t>43-683-628</t>
        </is>
      </c>
    </row>
    <row r="25" ht="30" customHeight="1">
      <c r="A25" s="4" t="inlineStr">
        <is>
          <t>SFP modullar</t>
        </is>
      </c>
      <c r="B25" s="4" t="inlineStr">
        <is>
          <t>SFP WDM moduli, 20 km gacha (14dB), 1310nm, 100Mb</t>
        </is>
      </c>
      <c r="C25" s="5" t="inlineStr"/>
      <c r="D25" s="5" t="n">
        <v>391302</v>
      </c>
      <c r="E25" s="5" t="n">
        <v>349377</v>
      </c>
      <c r="F25" s="5" t="inlineStr"/>
      <c r="G25" s="5" t="inlineStr">
        <is>
          <t>SNR</t>
        </is>
      </c>
      <c r="H25" s="5">
        <f>HYPERLINK("https://itrix.uz/product/790", "🔗 Mahsulot sotib olish")</f>
        <v/>
      </c>
      <c r="I25" t="inlineStr">
        <is>
          <t>43-790-693</t>
        </is>
      </c>
    </row>
    <row r="26" ht="30" customHeight="1">
      <c r="A26" s="4" t="inlineStr">
        <is>
          <t>SFP modullar</t>
        </is>
      </c>
      <c r="B26" s="4" t="inlineStr">
        <is>
          <t>SFP WDM GEPON moduli, 20 km gacha masofa (32dB), Tx/Rx: 1490/1310nm</t>
        </is>
      </c>
      <c r="C26" s="5" t="inlineStr"/>
      <c r="D26" s="5" t="n">
        <v>805505</v>
      </c>
      <c r="E26" s="5" t="n">
        <v>719201</v>
      </c>
      <c r="F26" s="5" t="inlineStr"/>
      <c r="G26" s="5" t="inlineStr">
        <is>
          <t>SNR</t>
        </is>
      </c>
      <c r="H26" s="5">
        <f>HYPERLINK("https://itrix.uz/product/745", "🔗 Mahsulot sotib olish")</f>
        <v/>
      </c>
      <c r="I26" t="inlineStr">
        <is>
          <t>43-745-655</t>
        </is>
      </c>
    </row>
    <row r="27" ht="30" customHeight="1">
      <c r="A27" s="4" t="inlineStr">
        <is>
          <t>SFP modullar</t>
        </is>
      </c>
      <c r="B27" s="4" t="inlineStr">
        <is>
          <t>Optik CWDM SFP moduli, 60 km gacha (17dB), 1590nm</t>
        </is>
      </c>
      <c r="C27" s="5" t="inlineStr"/>
      <c r="D27" s="5" t="n">
        <v>1318138</v>
      </c>
      <c r="E27" s="5" t="n">
        <v>1176909</v>
      </c>
      <c r="F27" s="5" t="inlineStr"/>
      <c r="G27" s="5" t="inlineStr">
        <is>
          <t>SNR</t>
        </is>
      </c>
      <c r="H27" s="5">
        <f>HYPERLINK("https://itrix.uz/product/781", "🔗 Mahsulot sotib olish")</f>
        <v/>
      </c>
      <c r="I27" t="inlineStr">
        <is>
          <t>43-781-688</t>
        </is>
      </c>
    </row>
    <row r="28" ht="30" customHeight="1">
      <c r="A28" s="4" t="inlineStr">
        <is>
          <t>QSFP28 modullar</t>
        </is>
      </c>
      <c r="B28" s="4" t="inlineStr">
        <is>
          <t>QSFP28 100GBASE-LR4 optik moduli, LC ulagichli, 10 km gacha</t>
        </is>
      </c>
      <c r="C28" s="5" t="inlineStr"/>
      <c r="D28" s="5" t="n">
        <v>8136128</v>
      </c>
      <c r="E28" s="5" t="n">
        <v>7264400</v>
      </c>
      <c r="F28" s="5" t="inlineStr"/>
      <c r="G28" s="5" t="inlineStr"/>
      <c r="H28" s="5">
        <f>HYPERLINK("https://itrix.uz/product/572", "🔗 Mahsulot sotib olish")</f>
        <v/>
      </c>
      <c r="I28" t="inlineStr">
        <is>
          <t>43-572-533</t>
        </is>
      </c>
    </row>
    <row r="29" ht="30" customHeight="1">
      <c r="A29" s="4" t="inlineStr">
        <is>
          <t>Optik bo‘luvchi</t>
        </is>
      </c>
      <c r="B29" s="4" t="inlineStr">
        <is>
          <t>SNR-PLC-1x16-SC/APC optik planarlik bo‘linma</t>
        </is>
      </c>
      <c r="C29" s="5" t="inlineStr"/>
      <c r="D29" s="5" t="n">
        <v>274523</v>
      </c>
      <c r="E29" s="5" t="n">
        <v>245110</v>
      </c>
      <c r="F29" s="5" t="inlineStr"/>
      <c r="G29" s="5" t="inlineStr">
        <is>
          <t>SNR</t>
        </is>
      </c>
      <c r="H29" s="5">
        <f>HYPERLINK("https://itrix.uz/product/771", "🔗 Mahsulot sotib olish")</f>
        <v/>
      </c>
      <c r="I29" t="inlineStr">
        <is>
          <t>43-771-679</t>
        </is>
      </c>
    </row>
    <row r="30" ht="30" customHeight="1">
      <c r="A30" s="4" t="inlineStr">
        <is>
          <t>SFP28 modullar</t>
        </is>
      </c>
      <c r="B30" s="4" t="inlineStr">
        <is>
          <t>B-OptiX SFP28 25GBASE-SR optik moduli, LC ulagichli, 100 m gacha</t>
        </is>
      </c>
      <c r="C30" s="5" t="inlineStr"/>
      <c r="D30" s="5" t="n">
        <v>2617216</v>
      </c>
      <c r="E30" s="5" t="n">
        <v>2336800</v>
      </c>
      <c r="F30" s="5" t="inlineStr"/>
      <c r="G30" s="5" t="inlineStr"/>
      <c r="H30" s="5">
        <f>HYPERLINK("https://itrix.uz/product/573", "🔗 Mahsulot sotib olish")</f>
        <v/>
      </c>
      <c r="I30" t="inlineStr">
        <is>
          <t>43-573-534</t>
        </is>
      </c>
    </row>
    <row r="31" ht="30" customHeight="1">
      <c r="A31" s="4" t="inlineStr">
        <is>
          <t>SFP modullar</t>
        </is>
      </c>
      <c r="B31" s="4" t="inlineStr">
        <is>
          <t>Модуль B-OptiX SFP WDM, дальность до 3км, 1310нм</t>
        </is>
      </c>
      <c r="C31" s="5" t="inlineStr"/>
      <c r="D31" s="5" t="n">
        <v>184912</v>
      </c>
      <c r="E31" s="5" t="n">
        <v>165100</v>
      </c>
      <c r="F31" s="5" t="inlineStr"/>
      <c r="G31" s="5" t="inlineStr"/>
      <c r="H31" s="5">
        <f>HYPERLINK("https://itrix.uz/product/678", "🔗 Mahsulot sotib olish")</f>
        <v/>
      </c>
      <c r="I31" t="inlineStr">
        <is>
          <t>43-678-607</t>
        </is>
      </c>
    </row>
    <row r="32" ht="30" customHeight="1">
      <c r="A32" s="4" t="inlineStr">
        <is>
          <t>Abonent terminal qurilmalari (ONU / ONT)</t>
        </is>
      </c>
      <c r="B32" s="4" t="inlineStr">
        <is>
          <t>ONU XPON abonent terminali, SFP moduliga integratsiyalashgan</t>
        </is>
      </c>
      <c r="C32" s="5" t="inlineStr"/>
      <c r="D32" s="5" t="n">
        <v>958271</v>
      </c>
      <c r="E32" s="5" t="n">
        <v>855599</v>
      </c>
      <c r="F32" s="5" t="inlineStr"/>
      <c r="G32" s="5" t="inlineStr"/>
      <c r="H32" s="5">
        <f>HYPERLINK("https://itrix.uz/product/689", "🔗 Mahsulot sotib olish")</f>
        <v/>
      </c>
      <c r="I32" t="inlineStr">
        <is>
          <t>43-689-633</t>
        </is>
      </c>
    </row>
    <row r="33" ht="30" customHeight="1">
      <c r="A33" s="4" t="inlineStr">
        <is>
          <t>SFP modullar</t>
        </is>
      </c>
      <c r="B33" s="4" t="inlineStr">
        <is>
          <t>SFP WDM moduli, 20 km gacha (12dB), 1550nm, 100Mb</t>
        </is>
      </c>
      <c r="C33" s="5" t="inlineStr"/>
      <c r="D33" s="5" t="n">
        <v>299984</v>
      </c>
      <c r="E33" s="5" t="n">
        <v>267843</v>
      </c>
      <c r="F33" s="5" t="inlineStr"/>
      <c r="G33" s="5" t="inlineStr">
        <is>
          <t>SNR</t>
        </is>
      </c>
      <c r="H33" s="5">
        <f>HYPERLINK("https://itrix.uz/product/789", "🔗 Mahsulot sotib olish")</f>
        <v/>
      </c>
      <c r="I33" t="inlineStr">
        <is>
          <t>43-789-772</t>
        </is>
      </c>
    </row>
    <row r="34" ht="30" customHeight="1">
      <c r="A34" s="4" t="inlineStr">
        <is>
          <t>Abonent terminal qurilmalari (ONU / ONT)</t>
        </is>
      </c>
      <c r="B34" s="4" t="inlineStr">
        <is>
          <t>ONU XPON abonent terminali, 1 ta 10/100/1000Base-T port, mini korpusda</t>
        </is>
      </c>
      <c r="C34" s="5" t="inlineStr"/>
      <c r="D34" s="5" t="n">
        <v>289601</v>
      </c>
      <c r="E34" s="5" t="n">
        <v>258572</v>
      </c>
      <c r="F34" s="5" t="inlineStr"/>
      <c r="G34" s="5" t="inlineStr"/>
      <c r="H34" s="5">
        <f>HYPERLINK("https://itrix.uz/product/690", "🔗 Mahsulot sotib olish")</f>
        <v/>
      </c>
      <c r="I34" t="inlineStr">
        <is>
          <t>43-690-634</t>
        </is>
      </c>
    </row>
    <row r="35" ht="30" customHeight="1">
      <c r="A35" s="4" t="inlineStr">
        <is>
          <t>SFP+ modullar</t>
        </is>
      </c>
      <c r="B35" s="4" t="inlineStr">
        <is>
          <t>SFP+ WDM moduli, 20 km gacha (12dB), 1270nm</t>
        </is>
      </c>
      <c r="C35" s="5" t="inlineStr"/>
      <c r="D35" s="5" t="n">
        <v>988284</v>
      </c>
      <c r="E35" s="5" t="n">
        <v>882396</v>
      </c>
      <c r="F35" s="5" t="inlineStr"/>
      <c r="G35" s="5" t="inlineStr">
        <is>
          <t>SNR</t>
        </is>
      </c>
      <c r="H35" s="5">
        <f>HYPERLINK("https://itrix.uz/product/772", "🔗 Mahsulot sotib olish")</f>
        <v/>
      </c>
      <c r="I35" t="inlineStr">
        <is>
          <t>43-772-680</t>
        </is>
      </c>
    </row>
    <row r="36" ht="30" customHeight="1">
      <c r="A36" s="4" t="inlineStr">
        <is>
          <t>SFP+ modullar</t>
        </is>
      </c>
      <c r="B36" s="4" t="inlineStr">
        <is>
          <t>SFP+ WDM moduli, 20 km gacha (12dB), 1330nm</t>
        </is>
      </c>
      <c r="C36" s="5" t="inlineStr"/>
      <c r="D36" s="5" t="n">
        <v>988141</v>
      </c>
      <c r="E36" s="5" t="n">
        <v>882269</v>
      </c>
      <c r="F36" s="5" t="inlineStr"/>
      <c r="G36" s="5" t="inlineStr">
        <is>
          <t>SNR</t>
        </is>
      </c>
      <c r="H36" s="5">
        <f>HYPERLINK("https://itrix.uz/product/773", "🔗 Mahsulot sotib olish")</f>
        <v/>
      </c>
      <c r="I36" t="inlineStr">
        <is>
          <t>43-773-681</t>
        </is>
      </c>
    </row>
    <row r="37" ht="30" customHeight="1">
      <c r="A37" s="4" t="inlineStr">
        <is>
          <t>SFP modullar</t>
        </is>
      </c>
      <c r="B37" s="4" t="inlineStr">
        <is>
          <t>SFP WDM GPON moduli, 20 km gacha masofa, Tx/Rx: 1490/1310nm (37dB)</t>
        </is>
      </c>
      <c r="C37" s="5" t="inlineStr"/>
      <c r="D37" s="5" t="n">
        <v>2013265</v>
      </c>
      <c r="E37" s="5" t="n">
        <v>1797558</v>
      </c>
      <c r="F37" s="5" t="inlineStr"/>
      <c r="G37" s="5" t="inlineStr">
        <is>
          <t>SNR</t>
        </is>
      </c>
      <c r="H37" s="5">
        <f>HYPERLINK("https://itrix.uz/product/688", "🔗 Mahsulot sotib olish")</f>
        <v/>
      </c>
      <c r="I37" t="inlineStr">
        <is>
          <t>43-688-632</t>
        </is>
      </c>
    </row>
    <row r="38" ht="30" customHeight="1">
      <c r="A38" s="4" t="inlineStr">
        <is>
          <t>Abonent terminal qurilmalari (ONU / ONT)</t>
        </is>
      </c>
      <c r="B38" s="4" t="inlineStr">
        <is>
          <t>ONU GPON abonent terminali, 1 ta 10/100/1000Base-T port, mini korpusda</t>
        </is>
      </c>
      <c r="C38" s="5" t="inlineStr"/>
      <c r="D38" s="5" t="n">
        <v>383906</v>
      </c>
      <c r="E38" s="5" t="n">
        <v>342773</v>
      </c>
      <c r="F38" s="5" t="inlineStr"/>
      <c r="G38" s="5" t="inlineStr"/>
      <c r="H38" s="5">
        <f>HYPERLINK("https://itrix.uz/product/686", "🔗 Mahsulot sotib olish")</f>
        <v/>
      </c>
      <c r="I38" t="inlineStr">
        <is>
          <t>43-686-630</t>
        </is>
      </c>
    </row>
    <row r="39" ht="30" customHeight="1">
      <c r="A39" s="4" t="inlineStr">
        <is>
          <t>SFP modullar</t>
        </is>
      </c>
      <c r="B39" s="4" t="inlineStr">
        <is>
          <t>SFP WDM moduli, 20 km gacha LC (14dB), 1550nm</t>
        </is>
      </c>
      <c r="C39" s="5" t="inlineStr"/>
      <c r="D39" s="5" t="n">
        <v>387177</v>
      </c>
      <c r="E39" s="5" t="n">
        <v>345694</v>
      </c>
      <c r="F39" s="5" t="inlineStr"/>
      <c r="G39" s="5" t="inlineStr">
        <is>
          <t>SNR</t>
        </is>
      </c>
      <c r="H39" s="5">
        <f>HYPERLINK("https://itrix.uz/product/791", "🔗 Mahsulot sotib olish")</f>
        <v/>
      </c>
      <c r="I39" t="inlineStr">
        <is>
          <t>43-791-694</t>
        </is>
      </c>
    </row>
    <row r="40" ht="30" customHeight="1">
      <c r="A40" s="4" t="inlineStr">
        <is>
          <t>SFP+ modullar</t>
        </is>
      </c>
      <c r="B40" s="4" t="inlineStr">
        <is>
          <t>SFP+ optik moduli, 40 km gacha (15dB), 1550nm</t>
        </is>
      </c>
      <c r="C40" s="5" t="inlineStr"/>
      <c r="D40" s="5" t="n">
        <v>4333057</v>
      </c>
      <c r="E40" s="5" t="n">
        <v>3868801</v>
      </c>
      <c r="F40" s="5" t="inlineStr"/>
      <c r="G40" s="5" t="inlineStr">
        <is>
          <t>SNR</t>
        </is>
      </c>
      <c r="H40" s="5">
        <f>HYPERLINK("https://itrix.uz/product/774", "🔗 Mahsulot sotib olish")</f>
        <v/>
      </c>
      <c r="I40" t="inlineStr">
        <is>
          <t>43-774-682</t>
        </is>
      </c>
    </row>
    <row r="41" ht="30" customHeight="1">
      <c r="A41" s="4" t="inlineStr">
        <is>
          <t>Optik multipleksorlar (CWDM/DWDM uskunalari, passiv komponentlar)</t>
        </is>
      </c>
      <c r="B41" s="4" t="inlineStr">
        <is>
          <t>CWDM multiplexer, bitta tolali 4-kanalli (TRx: 1270, 1290, 1310, 1330, 1530, 1550, 1510, 1570nm)</t>
        </is>
      </c>
      <c r="C41" s="5" t="inlineStr"/>
      <c r="D41" s="5" t="n">
        <v>5091908</v>
      </c>
      <c r="E41" s="5" t="n">
        <v>4546346</v>
      </c>
      <c r="F41" s="5" t="inlineStr"/>
      <c r="G41" s="5" t="inlineStr"/>
      <c r="H41" s="5">
        <f>HYPERLINK("https://itrix.uz/product/747", "🔗 Mahsulot sotib olish")</f>
        <v/>
      </c>
      <c r="I41" t="inlineStr">
        <is>
          <t>43-747-657</t>
        </is>
      </c>
    </row>
    <row r="42" ht="30" customHeight="1">
      <c r="A42" s="4" t="inlineStr">
        <is>
          <t>SFP modullar</t>
        </is>
      </c>
      <c r="B42" s="4" t="inlineStr">
        <is>
          <t>Optik CWDM SFP moduli, 60 km gacha (17dB), 1570nm</t>
        </is>
      </c>
      <c r="C42" s="5" t="inlineStr"/>
      <c r="D42" s="5" t="n">
        <v>1365077</v>
      </c>
      <c r="E42" s="5" t="n">
        <v>1218819</v>
      </c>
      <c r="F42" s="5" t="inlineStr"/>
      <c r="G42" s="5" t="inlineStr">
        <is>
          <t>SNR</t>
        </is>
      </c>
      <c r="H42" s="5">
        <f>HYPERLINK("https://itrix.uz/product/782", "🔗 Mahsulot sotib olish")</f>
        <v/>
      </c>
      <c r="I42" t="inlineStr">
        <is>
          <t>43-782-689</t>
        </is>
      </c>
    </row>
    <row r="43" ht="30" customHeight="1">
      <c r="A43" s="4" t="inlineStr">
        <is>
          <t>Taqsimlash qutilari</t>
        </is>
      </c>
      <c r="B43" s="4" t="inlineStr">
        <is>
          <t>BO-FTTH-FDB-08D optik taqsimlash qutisi</t>
        </is>
      </c>
      <c r="C43" s="5" t="inlineStr"/>
      <c r="D43" s="5" t="n">
        <v>107676</v>
      </c>
      <c r="E43" s="5" t="n">
        <v>96139</v>
      </c>
      <c r="F43" s="5" t="inlineStr"/>
      <c r="G43" s="5" t="inlineStr"/>
      <c r="H43" s="5">
        <f>HYPERLINK("https://itrix.uz/product/680", "🔗 Mahsulot sotib olish")</f>
        <v/>
      </c>
      <c r="I43" t="inlineStr">
        <is>
          <t>43-680-625</t>
        </is>
      </c>
    </row>
    <row r="44" ht="30" customHeight="1">
      <c r="A44" s="4" t="inlineStr">
        <is>
          <t>SFP modullar</t>
        </is>
      </c>
      <c r="B44" s="4" t="inlineStr">
        <is>
          <t>SFP WDM moduli, 20 km gacha (12dB), 1490/1310nm</t>
        </is>
      </c>
      <c r="C44" s="5" t="inlineStr"/>
      <c r="D44" s="5" t="n">
        <v>654588</v>
      </c>
      <c r="E44" s="5" t="n">
        <v>584454</v>
      </c>
      <c r="F44" s="5" t="inlineStr"/>
      <c r="G44" s="5" t="inlineStr">
        <is>
          <t>SNR</t>
        </is>
      </c>
      <c r="H44" s="5">
        <f>HYPERLINK("https://itrix.uz/product/775", "🔗 Mahsulot sotib olish")</f>
        <v/>
      </c>
      <c r="I44" t="inlineStr">
        <is>
          <t>43-775-683</t>
        </is>
      </c>
    </row>
    <row r="45" ht="30" customHeight="1">
      <c r="A45" s="4" t="inlineStr">
        <is>
          <t>SFP modullar</t>
        </is>
      </c>
      <c r="B45" s="4" t="inlineStr">
        <is>
          <t>Optik CWDM SFP moduli, 60 km gacha (17dB), 1510nm</t>
        </is>
      </c>
      <c r="C45" s="5" t="inlineStr"/>
      <c r="D45" s="5" t="n">
        <v>1282151</v>
      </c>
      <c r="E45" s="5" t="n">
        <v>1144778</v>
      </c>
      <c r="F45" s="5" t="inlineStr"/>
      <c r="G45" s="5" t="inlineStr">
        <is>
          <t>SNR</t>
        </is>
      </c>
      <c r="H45" s="5">
        <f>HYPERLINK("https://itrix.uz/product/784", "🔗 Mahsulot sotib olish")</f>
        <v/>
      </c>
      <c r="I45" t="inlineStr">
        <is>
          <t>43-784-691</t>
        </is>
      </c>
    </row>
    <row r="46" ht="30" customHeight="1">
      <c r="A46" s="4" t="inlineStr">
        <is>
          <t>Abonent terminal qurilmalari (ONU / ONT)</t>
        </is>
      </c>
      <c r="B46" s="4" t="inlineStr">
        <is>
          <t>ONU GPON abonent terminali, 4 ta 10/100/1000Base-T port, 2 ta POTS port, WiFi 2.4/5</t>
        </is>
      </c>
      <c r="C46" s="5" t="inlineStr"/>
      <c r="D46" s="5" t="n">
        <v>900095</v>
      </c>
      <c r="E46" s="5" t="n">
        <v>803656</v>
      </c>
      <c r="F46" s="5" t="inlineStr"/>
      <c r="G46" s="5" t="inlineStr"/>
      <c r="H46" s="5">
        <f>HYPERLINK("https://itrix.uz/product/682", "🔗 Mahsulot sotib olish")</f>
        <v/>
      </c>
      <c r="I46" t="inlineStr">
        <is>
          <t>43-682-627</t>
        </is>
      </c>
    </row>
    <row r="47" ht="30" customHeight="1">
      <c r="A47" s="4" t="inlineStr">
        <is>
          <t>SFP+ modullar</t>
        </is>
      </c>
      <c r="B47" s="4" t="inlineStr">
        <is>
          <t>SFP+ optik moduli, 300m gacha (5dB), 850nm</t>
        </is>
      </c>
      <c r="C47" s="5" t="inlineStr"/>
      <c r="D47" s="5" t="n">
        <v>405811</v>
      </c>
      <c r="E47" s="5" t="n">
        <v>362331</v>
      </c>
      <c r="F47" s="5" t="inlineStr"/>
      <c r="G47" s="5" t="inlineStr">
        <is>
          <t>SNR</t>
        </is>
      </c>
      <c r="H47" s="5">
        <f>HYPERLINK("https://itrix.uz/product/776", "🔗 Mahsulot sotib olish")</f>
        <v/>
      </c>
      <c r="I47" t="inlineStr">
        <is>
          <t>43-776-624</t>
        </is>
      </c>
    </row>
    <row r="48" ht="30" customHeight="1">
      <c r="A48" s="4" t="inlineStr">
        <is>
          <t>SFP modullar</t>
        </is>
      </c>
      <c r="B48" s="4" t="inlineStr">
        <is>
          <t>B-OptiX SFP WDM moduli, 20km gacha masofa (14dB), 1310nm</t>
        </is>
      </c>
      <c r="C48" s="5" t="inlineStr"/>
      <c r="D48" s="5" t="n">
        <v>296428</v>
      </c>
      <c r="E48" s="5" t="n">
        <v>264668</v>
      </c>
      <c r="F48" s="5" t="inlineStr"/>
      <c r="G48" s="5" t="inlineStr"/>
      <c r="H48" s="5">
        <f>HYPERLINK("https://itrix.uz/product/730", "🔗 Mahsulot sotib olish")</f>
        <v/>
      </c>
      <c r="I48" t="inlineStr">
        <is>
          <t>43-730-640</t>
        </is>
      </c>
    </row>
    <row r="49" ht="30" customHeight="1">
      <c r="A49" s="4" t="inlineStr">
        <is>
          <t>SFP modullar</t>
        </is>
      </c>
      <c r="B49" s="4" t="inlineStr">
        <is>
          <t>Модуль B-OptiX SFP WDM, дальность до 3км (6dB), 1550нм</t>
        </is>
      </c>
      <c r="C49" s="5" t="inlineStr"/>
      <c r="D49" s="5" t="n">
        <v>198140</v>
      </c>
      <c r="E49" s="5" t="n">
        <v>176911</v>
      </c>
      <c r="F49" s="5" t="inlineStr"/>
      <c r="G49" s="5" t="inlineStr"/>
      <c r="H49" s="5">
        <f>HYPERLINK("https://itrix.uz/product/677", "🔗 Mahsulot sotib olish")</f>
        <v/>
      </c>
      <c r="I49" t="inlineStr">
        <is>
          <t>43-677-641</t>
        </is>
      </c>
    </row>
    <row r="50" ht="30" customHeight="1">
      <c r="A50" s="4" t="inlineStr">
        <is>
          <t>Optik bo‘luvchi</t>
        </is>
      </c>
      <c r="B50" s="4" t="inlineStr">
        <is>
          <t>PLC-M-1x4 optik bo‘luvchi, korpussiz, SC/APC ulanishlari</t>
        </is>
      </c>
      <c r="C50" s="5" t="inlineStr"/>
      <c r="D50" s="5" t="n">
        <v>93025</v>
      </c>
      <c r="E50" s="5" t="n">
        <v>83058</v>
      </c>
      <c r="F50" s="5" t="inlineStr"/>
      <c r="G50" s="5" t="inlineStr"/>
      <c r="H50" s="5">
        <f>HYPERLINK("https://itrix.uz/product/731", "🔗 Mahsulot sotib olish")</f>
        <v/>
      </c>
      <c r="I50" t="inlineStr">
        <is>
          <t>43-731-642</t>
        </is>
      </c>
    </row>
    <row r="51" ht="30" customHeight="1">
      <c r="A51" s="4" t="inlineStr">
        <is>
          <t>Optik bo‘luvchi</t>
        </is>
      </c>
      <c r="B51" s="4" t="inlineStr">
        <is>
          <t>Alpha Mile 1x16-SC/APC planarly optik bo‘luvchi</t>
        </is>
      </c>
      <c r="C51" s="5" t="inlineStr"/>
      <c r="D51" s="5" t="n">
        <v>231993</v>
      </c>
      <c r="E51" s="5" t="n">
        <v>207137</v>
      </c>
      <c r="F51" s="5" t="inlineStr"/>
      <c r="G51" s="5" t="inlineStr"/>
      <c r="H51" s="5">
        <f>HYPERLINK("https://itrix.uz/product/733", "🔗 Mahsulot sotib olish")</f>
        <v/>
      </c>
      <c r="I51" t="inlineStr">
        <is>
          <t>43-733-644</t>
        </is>
      </c>
    </row>
    <row r="52" ht="30" customHeight="1">
      <c r="A52" s="4" t="inlineStr">
        <is>
          <t>Taqsimlash qutilari</t>
        </is>
      </c>
      <c r="B52" s="4" t="inlineStr">
        <is>
          <t>SNR-FTTH-FDB-16A optik taqsimot qutisi</t>
        </is>
      </c>
      <c r="C52" s="5" t="inlineStr"/>
      <c r="D52" s="5" t="n">
        <v>414487</v>
      </c>
      <c r="E52" s="5" t="n">
        <v>370078</v>
      </c>
      <c r="F52" s="5" t="inlineStr"/>
      <c r="G52" s="5" t="inlineStr">
        <is>
          <t>SNR</t>
        </is>
      </c>
      <c r="H52" s="5">
        <f>HYPERLINK("https://itrix.uz/product/732", "🔗 Mahsulot sotib olish")</f>
        <v/>
      </c>
      <c r="I52" t="inlineStr">
        <is>
          <t>43-732-643</t>
        </is>
      </c>
    </row>
    <row r="53" ht="30" customHeight="1">
      <c r="A53" s="4" t="inlineStr">
        <is>
          <t>SFP+ modullar</t>
        </is>
      </c>
      <c r="B53" s="4" t="inlineStr">
        <is>
          <t>SFP+ WDM moduli, 3 km gacha masofa (5dB), 1270nm</t>
        </is>
      </c>
      <c r="C53" s="5" t="inlineStr"/>
      <c r="D53" s="5" t="n">
        <v>856285</v>
      </c>
      <c r="E53" s="5" t="n">
        <v>764540</v>
      </c>
      <c r="F53" s="5" t="inlineStr"/>
      <c r="G53" s="5" t="inlineStr">
        <is>
          <t>SNR</t>
        </is>
      </c>
      <c r="H53" s="5">
        <f>HYPERLINK("https://itrix.uz/product/735", "🔗 Mahsulot sotib olish")</f>
        <v/>
      </c>
      <c r="I53" t="inlineStr">
        <is>
          <t>43-735-646</t>
        </is>
      </c>
    </row>
    <row r="54" ht="30" customHeight="1">
      <c r="A54" s="4" t="inlineStr">
        <is>
          <t>SFP modullar</t>
        </is>
      </c>
      <c r="B54" s="4" t="inlineStr">
        <is>
          <t>SFP optik moduli, 20 km gacha masofa (14dB), 1310nm, sanoat versiyasi</t>
        </is>
      </c>
      <c r="C54" s="5" t="inlineStr"/>
      <c r="D54" s="5" t="n">
        <v>507655</v>
      </c>
      <c r="E54" s="5" t="n">
        <v>453263</v>
      </c>
      <c r="F54" s="5" t="inlineStr"/>
      <c r="G54" s="5" t="inlineStr">
        <is>
          <t>SNR</t>
        </is>
      </c>
      <c r="H54" s="5">
        <f>HYPERLINK("https://itrix.uz/product/743", "🔗 Mahsulot sotib olish")</f>
        <v/>
      </c>
      <c r="I54" t="inlineStr">
        <is>
          <t>43-743-653</t>
        </is>
      </c>
    </row>
    <row r="55" ht="30" customHeight="1">
      <c r="A55" s="4" t="inlineStr">
        <is>
          <t>SFP modullar</t>
        </is>
      </c>
      <c r="B55" s="4" t="inlineStr">
        <is>
          <t>B-OptiX SFP WDM moduli, 20km gacha masofa (14dB), 1550nm</t>
        </is>
      </c>
      <c r="C55" s="5" t="inlineStr"/>
      <c r="D55" s="5" t="n">
        <v>261864</v>
      </c>
      <c r="E55" s="5" t="n">
        <v>233807</v>
      </c>
      <c r="F55" s="5" t="inlineStr"/>
      <c r="G55" s="5" t="inlineStr"/>
      <c r="H55" s="5">
        <f>HYPERLINK("https://itrix.uz/product/729", "🔗 Mahsulot sotib olish")</f>
        <v/>
      </c>
      <c r="I55" t="inlineStr">
        <is>
          <t>43-729-638</t>
        </is>
      </c>
    </row>
    <row r="56" ht="30" customHeight="1">
      <c r="A56" s="4" t="inlineStr">
        <is>
          <t>SFP modullar</t>
        </is>
      </c>
      <c r="B56" s="4" t="inlineStr">
        <is>
          <t>SFP WDM moduli, 3 km gacha masofa (6dB), 1550nm, sanoat versiyasi</t>
        </is>
      </c>
      <c r="C56" s="5" t="inlineStr"/>
      <c r="D56" s="5" t="n">
        <v>207955</v>
      </c>
      <c r="E56" s="5" t="n">
        <v>185674</v>
      </c>
      <c r="F56" s="5" t="inlineStr"/>
      <c r="G56" s="5" t="inlineStr">
        <is>
          <t>SNR</t>
        </is>
      </c>
      <c r="H56" s="5">
        <f>HYPERLINK("https://itrix.uz/product/741", "🔗 Mahsulot sotib olish")</f>
        <v/>
      </c>
      <c r="I56" t="inlineStr">
        <is>
          <t>43-741-651</t>
        </is>
      </c>
    </row>
    <row r="57" ht="30" customHeight="1">
      <c r="A57" s="4" t="inlineStr">
        <is>
          <t>SFP modullar</t>
        </is>
      </c>
      <c r="B57" s="4" t="inlineStr">
        <is>
          <t>SFP optik moduli, 20 km gacha masofa (14dB), 1310nm, sanoat versiyasi</t>
        </is>
      </c>
      <c r="C57" s="5" t="inlineStr"/>
      <c r="D57" s="5" t="n">
        <v>507655</v>
      </c>
      <c r="E57" s="5" t="n">
        <v>453263</v>
      </c>
      <c r="F57" s="5" t="inlineStr"/>
      <c r="G57" s="5" t="inlineStr">
        <is>
          <t>SNR</t>
        </is>
      </c>
      <c r="H57" s="5">
        <f>HYPERLINK("https://itrix.uz/product/742", "🔗 Mahsulot sotib olish")</f>
        <v/>
      </c>
      <c r="I57" t="inlineStr">
        <is>
          <t>43-742-652</t>
        </is>
      </c>
    </row>
    <row r="58" ht="30" customHeight="1">
      <c r="A58" s="4" t="inlineStr">
        <is>
          <t>Abonent terminal qurilmalari (ONU / ONT)</t>
        </is>
      </c>
      <c r="B58" s="4" t="inlineStr">
        <is>
          <t>GEPON ONU abonent terminali, 1 port 10/100/1000Base-T, mini korpusda, BDCOM bilan mos</t>
        </is>
      </c>
      <c r="C58" s="5" t="inlineStr"/>
      <c r="D58" s="5" t="n">
        <v>193304</v>
      </c>
      <c r="E58" s="5" t="n">
        <v>172593</v>
      </c>
      <c r="F58" s="5" t="inlineStr"/>
      <c r="G58" s="5" t="inlineStr">
        <is>
          <t>SNR</t>
        </is>
      </c>
      <c r="H58" s="5">
        <f>HYPERLINK("https://itrix.uz/product/734", "🔗 Mahsulot sotib olish")</f>
        <v/>
      </c>
      <c r="I58" t="inlineStr">
        <is>
          <t>43-734-645</t>
        </is>
      </c>
    </row>
    <row r="59" ht="30" customHeight="1">
      <c r="A59" s="4" t="inlineStr">
        <is>
          <t>Taqsimlash qutilari</t>
        </is>
      </c>
      <c r="B59" s="4" t="inlineStr">
        <is>
          <t>Optik rozetka SNR-FTB-02F</t>
        </is>
      </c>
      <c r="C59" s="5" t="inlineStr"/>
      <c r="D59" s="5" t="n">
        <v>16073</v>
      </c>
      <c r="E59" s="5" t="n">
        <v>14351</v>
      </c>
      <c r="F59" s="5" t="inlineStr"/>
      <c r="G59" s="5" t="inlineStr">
        <is>
          <t>SNR</t>
        </is>
      </c>
      <c r="H59" s="5">
        <f>HYPERLINK("https://itrix.uz/product/746", "🔗 Mahsulot sotib olish")</f>
        <v/>
      </c>
      <c r="I59" t="inlineStr">
        <is>
          <t>43-746-656</t>
        </is>
      </c>
    </row>
    <row r="60" ht="30" customHeight="1">
      <c r="A60" s="4" t="inlineStr">
        <is>
          <t>SFP modullar</t>
        </is>
      </c>
      <c r="B60" s="4" t="inlineStr">
        <is>
          <t>SFP optik moduli, 2 km gacha masofa (12dB), 1310nm</t>
        </is>
      </c>
      <c r="C60" s="5" t="inlineStr"/>
      <c r="D60" s="5" t="n">
        <v>438953</v>
      </c>
      <c r="E60" s="5" t="n">
        <v>391922</v>
      </c>
      <c r="F60" s="5" t="inlineStr"/>
      <c r="G60" s="5" t="inlineStr">
        <is>
          <t>SNR</t>
        </is>
      </c>
      <c r="H60" s="5">
        <f>HYPERLINK("https://itrix.uz/product/748", "🔗 Mahsulot sotib olish")</f>
        <v/>
      </c>
      <c r="I60" t="inlineStr">
        <is>
          <t>43-748-658</t>
        </is>
      </c>
    </row>
    <row r="61" ht="30" customHeight="1">
      <c r="A61" s="4" t="inlineStr">
        <is>
          <t>QSFP+ modullar</t>
        </is>
      </c>
      <c r="B61" s="4" t="inlineStr">
        <is>
          <t>Ikki tolali modul, QSFP+ 40GBASE-LR4, LC rozemi, 10km gacha masofa</t>
        </is>
      </c>
      <c r="C61" s="5" t="inlineStr"/>
      <c r="D61" s="5" t="n">
        <v>6058713</v>
      </c>
      <c r="E61" s="5" t="n">
        <v>5409565</v>
      </c>
      <c r="F61" s="5" t="inlineStr"/>
      <c r="G61" s="5" t="inlineStr">
        <is>
          <t>SNR</t>
        </is>
      </c>
      <c r="H61" s="5">
        <f>HYPERLINK("https://itrix.uz/product/750", "🔗 Mahsulot sotib olish")</f>
        <v/>
      </c>
      <c r="I61" t="inlineStr">
        <is>
          <t>43-750-660</t>
        </is>
      </c>
    </row>
    <row r="62" ht="30" customHeight="1">
      <c r="A62" s="4" t="inlineStr">
        <is>
          <t>Optik multipleksorlar (CWDM/DWDM uskunalari, passiv komponentlar)</t>
        </is>
      </c>
      <c r="B62" s="4" t="inlineStr">
        <is>
          <t>DWDM multiplexer, bitta tolali 8-kanalli, 1/2-slotda</t>
        </is>
      </c>
      <c r="C62" s="5" t="inlineStr"/>
      <c r="D62" s="5" t="n">
        <v>14398813</v>
      </c>
      <c r="E62" s="5" t="n">
        <v>12856083</v>
      </c>
      <c r="F62" s="5" t="inlineStr"/>
      <c r="G62" s="5" t="inlineStr"/>
      <c r="H62" s="5">
        <f>HYPERLINK("https://itrix.uz/product/751", "🔗 Mahsulot sotib olish")</f>
        <v/>
      </c>
      <c r="I62" t="inlineStr">
        <is>
          <t>43-751-661</t>
        </is>
      </c>
    </row>
    <row r="63" ht="30" customHeight="1">
      <c r="A63" s="4" t="inlineStr">
        <is>
          <t>SFP modullar</t>
        </is>
      </c>
      <c r="B63" s="4" t="inlineStr">
        <is>
          <t>SFP WDM GPON moduli, 20 km gacha masofa (35dB), Tx/Rx: 1490/1310nm</t>
        </is>
      </c>
      <c r="C63" s="5" t="inlineStr"/>
      <c r="D63" s="5" t="n">
        <v>1812849</v>
      </c>
      <c r="E63" s="5" t="n">
        <v>1618615</v>
      </c>
      <c r="F63" s="5" t="inlineStr"/>
      <c r="G63" s="5" t="inlineStr">
        <is>
          <t>SNR</t>
        </is>
      </c>
      <c r="H63" s="5">
        <f>HYPERLINK("https://itrix.uz/product/752", "🔗 Mahsulot sotib olish")</f>
        <v/>
      </c>
      <c r="I63" t="inlineStr">
        <is>
          <t>43-752-662</t>
        </is>
      </c>
    </row>
    <row r="64" ht="30" customHeight="1">
      <c r="A64" s="4" t="inlineStr">
        <is>
          <t>SFP+ modullar</t>
        </is>
      </c>
      <c r="B64" s="4" t="inlineStr">
        <is>
          <t>SFP+ DWDM optik moduli, 80 km gacha masofa (24dB), 1547.72nm</t>
        </is>
      </c>
      <c r="C64" s="5" t="inlineStr"/>
      <c r="D64" s="5" t="n">
        <v>8666683</v>
      </c>
      <c r="E64" s="5" t="n">
        <v>7738110</v>
      </c>
      <c r="F64" s="5" t="inlineStr"/>
      <c r="G64" s="5" t="inlineStr">
        <is>
          <t>SNR</t>
        </is>
      </c>
      <c r="H64" s="5">
        <f>HYPERLINK("https://itrix.uz/product/753", "🔗 Mahsulot sotib olish")</f>
        <v/>
      </c>
      <c r="I64" t="inlineStr">
        <is>
          <t>43-753-663</t>
        </is>
      </c>
    </row>
    <row r="65" ht="30" customHeight="1">
      <c r="A65" s="4" t="inlineStr">
        <is>
          <t>SFP+ modullar</t>
        </is>
      </c>
      <c r="B65" s="4" t="inlineStr">
        <is>
          <t>SFP+ DWDM optik moduli, 80 km gacha masofa (24dB), 1528.77nm</t>
        </is>
      </c>
      <c r="C65" s="5" t="inlineStr"/>
      <c r="D65" s="5" t="n">
        <v>8666683</v>
      </c>
      <c r="E65" s="5" t="n">
        <v>7738110</v>
      </c>
      <c r="F65" s="5" t="inlineStr"/>
      <c r="G65" s="5" t="inlineStr">
        <is>
          <t>SNR</t>
        </is>
      </c>
      <c r="H65" s="5">
        <f>HYPERLINK("https://itrix.uz/product/754", "🔗 Mahsulot sotib olish")</f>
        <v/>
      </c>
      <c r="I65" t="inlineStr">
        <is>
          <t>43-754-664</t>
        </is>
      </c>
    </row>
    <row r="66" ht="30" customHeight="1">
      <c r="A66" s="4" t="inlineStr">
        <is>
          <t>Modul adapterlari va konverterlari</t>
        </is>
      </c>
      <c r="B66" s="4" t="inlineStr">
        <is>
          <t>Xenpak'dan SFP+ ga interfeys konvertori</t>
        </is>
      </c>
      <c r="C66" s="5" t="inlineStr"/>
      <c r="D66" s="5" t="n">
        <v>3191297</v>
      </c>
      <c r="E66" s="5" t="n">
        <v>2849372</v>
      </c>
      <c r="F66" s="5" t="inlineStr"/>
      <c r="G66" s="5" t="inlineStr"/>
      <c r="H66" s="5">
        <f>HYPERLINK("https://itrix.uz/product/756", "🔗 Mahsulot sotib olish")</f>
        <v/>
      </c>
      <c r="I66" t="inlineStr">
        <is>
          <t>43-756-665</t>
        </is>
      </c>
    </row>
    <row r="67" ht="30" customHeight="1">
      <c r="A67" s="4" t="inlineStr">
        <is>
          <t>SFP+ modullar</t>
        </is>
      </c>
      <c r="B67" s="4" t="inlineStr">
        <is>
          <t>SFP+ DWDM optik moduli, 80 km gacha masofa (24dB), 1531.12nm</t>
        </is>
      </c>
      <c r="C67" s="5" t="inlineStr"/>
      <c r="D67" s="5" t="n">
        <v>8666683</v>
      </c>
      <c r="E67" s="5" t="n">
        <v>7738110</v>
      </c>
      <c r="F67" s="5" t="inlineStr"/>
      <c r="G67" s="5" t="inlineStr">
        <is>
          <t>SNR</t>
        </is>
      </c>
      <c r="H67" s="5">
        <f>HYPERLINK("https://itrix.uz/product/757", "🔗 Mahsulot sotib olish")</f>
        <v/>
      </c>
      <c r="I67" t="inlineStr">
        <is>
          <t>43-757-666</t>
        </is>
      </c>
    </row>
    <row r="68" ht="30" customHeight="1">
      <c r="A68" s="4" t="inlineStr">
        <is>
          <t>SFP+ modullar</t>
        </is>
      </c>
      <c r="B68" s="4" t="inlineStr">
        <is>
          <t>SFP+ DWDM optik moduli, 80 km gacha masofa (24dB), 1550.12nm</t>
        </is>
      </c>
      <c r="C68" s="5" t="inlineStr"/>
      <c r="D68" s="5" t="n">
        <v>8666683</v>
      </c>
      <c r="E68" s="5" t="n">
        <v>7738110</v>
      </c>
      <c r="F68" s="5" t="inlineStr"/>
      <c r="G68" s="5" t="inlineStr">
        <is>
          <t>SNR</t>
        </is>
      </c>
      <c r="H68" s="5">
        <f>HYPERLINK("https://itrix.uz/product/758", "🔗 Mahsulot sotib olish")</f>
        <v/>
      </c>
      <c r="I68" t="inlineStr">
        <is>
          <t>43-758-667</t>
        </is>
      </c>
    </row>
    <row r="69" ht="30" customHeight="1">
      <c r="A69" s="4" t="inlineStr">
        <is>
          <t>SFP+ modullar</t>
        </is>
      </c>
      <c r="B69" s="4" t="inlineStr">
        <is>
          <t>SFP+ CWDM optik moduli, 60 km gacha masofa (23dB), 1290nm</t>
        </is>
      </c>
      <c r="C69" s="5" t="inlineStr"/>
      <c r="D69" s="5" t="n">
        <v>7606995</v>
      </c>
      <c r="E69" s="5" t="n">
        <v>6791960</v>
      </c>
      <c r="F69" s="5" t="inlineStr"/>
      <c r="G69" s="5" t="inlineStr">
        <is>
          <t>SNR</t>
        </is>
      </c>
      <c r="H69" s="5">
        <f>HYPERLINK("https://itrix.uz/product/759", "🔗 Mahsulot sotib olish")</f>
        <v/>
      </c>
      <c r="I69" t="inlineStr">
        <is>
          <t>43-759-668</t>
        </is>
      </c>
    </row>
    <row r="70" ht="30" customHeight="1">
      <c r="A70" s="4" t="inlineStr">
        <is>
          <t>SFP+ modullar</t>
        </is>
      </c>
      <c r="B70" s="4" t="inlineStr">
        <is>
          <t>SFP+ CWDM optik moduli, 60 km gacha masofa (23dB), 1270nm</t>
        </is>
      </c>
      <c r="C70" s="5" t="inlineStr"/>
      <c r="D70" s="5" t="n">
        <v>7606995</v>
      </c>
      <c r="E70" s="5" t="n">
        <v>6791960</v>
      </c>
      <c r="F70" s="5" t="inlineStr"/>
      <c r="G70" s="5" t="inlineStr">
        <is>
          <t>SNR</t>
        </is>
      </c>
      <c r="H70" s="5">
        <f>HYPERLINK("https://itrix.uz/product/760", "🔗 Mahsulot sotib olish")</f>
        <v/>
      </c>
      <c r="I70" t="inlineStr">
        <is>
          <t>43-760-669</t>
        </is>
      </c>
    </row>
    <row r="71" ht="30" customHeight="1">
      <c r="A71" s="4" t="inlineStr">
        <is>
          <t>SFP+ modullar</t>
        </is>
      </c>
      <c r="B71" s="4" t="inlineStr">
        <is>
          <t>SFP+ CWDM optik moduli, 10 km gacha masofa (10dB), 1330nm</t>
        </is>
      </c>
      <c r="C71" s="5" t="inlineStr"/>
      <c r="D71" s="5" t="n">
        <v>2897856</v>
      </c>
      <c r="E71" s="5" t="n">
        <v>2587371</v>
      </c>
      <c r="F71" s="5" t="inlineStr"/>
      <c r="G71" s="5" t="inlineStr">
        <is>
          <t>SNR</t>
        </is>
      </c>
      <c r="H71" s="5">
        <f>HYPERLINK("https://itrix.uz/product/761", "🔗 Mahsulot sotib olish")</f>
        <v/>
      </c>
      <c r="I71" t="inlineStr">
        <is>
          <t>43-761-670</t>
        </is>
      </c>
    </row>
    <row r="72" ht="30" customHeight="1">
      <c r="A72" s="4" t="inlineStr">
        <is>
          <t>SFP+ modullar</t>
        </is>
      </c>
      <c r="B72" s="4" t="inlineStr">
        <is>
          <t>SFP+ DWDM optik moduli, 80 km gacha masofa (24dB), 1530.33nm</t>
        </is>
      </c>
      <c r="C72" s="5" t="inlineStr"/>
      <c r="D72" s="5" t="n">
        <v>8666683</v>
      </c>
      <c r="E72" s="5" t="n">
        <v>7738110</v>
      </c>
      <c r="F72" s="5" t="inlineStr"/>
      <c r="G72" s="5" t="inlineStr">
        <is>
          <t>SNR</t>
        </is>
      </c>
      <c r="H72" s="5">
        <f>HYPERLINK("https://itrix.uz/product/763", "🔗 Mahsulot sotib olish")</f>
        <v/>
      </c>
      <c r="I72" t="inlineStr">
        <is>
          <t>43-763-672</t>
        </is>
      </c>
    </row>
    <row r="73" ht="30" customHeight="1">
      <c r="A73" s="4" t="inlineStr">
        <is>
          <t>SFP+ modullar</t>
        </is>
      </c>
      <c r="B73" s="4" t="inlineStr">
        <is>
          <t>SFP+ DWDM optik moduli, 80 km gacha masofa (24dB), 1548.51nm</t>
        </is>
      </c>
      <c r="C73" s="5" t="inlineStr"/>
      <c r="D73" s="5" t="n">
        <v>8666683</v>
      </c>
      <c r="E73" s="5" t="n">
        <v>7738110</v>
      </c>
      <c r="F73" s="5" t="inlineStr"/>
      <c r="G73" s="5" t="inlineStr">
        <is>
          <t>SNR</t>
        </is>
      </c>
      <c r="H73" s="5">
        <f>HYPERLINK("https://itrix.uz/product/764", "🔗 Mahsulot sotib olish")</f>
        <v/>
      </c>
      <c r="I73" t="inlineStr">
        <is>
          <t>43-764-673</t>
        </is>
      </c>
    </row>
    <row r="74" ht="30" customHeight="1">
      <c r="A74" s="4" t="inlineStr">
        <is>
          <t>SFP+ modullar</t>
        </is>
      </c>
      <c r="B74" s="4" t="inlineStr">
        <is>
          <t>SFP+ WDM moduli, 40 km gacha masofa (16dB), 1270nm</t>
        </is>
      </c>
      <c r="C74" s="5" t="inlineStr"/>
      <c r="D74" s="5" t="n">
        <v>1145032</v>
      </c>
      <c r="E74" s="5" t="n">
        <v>1022350</v>
      </c>
      <c r="F74" s="5" t="inlineStr"/>
      <c r="G74" s="5" t="inlineStr">
        <is>
          <t>SNR</t>
        </is>
      </c>
      <c r="H74" s="5">
        <f>HYPERLINK("https://itrix.uz/product/766", "🔗 Mahsulot sotib olish")</f>
        <v/>
      </c>
      <c r="I74" t="inlineStr">
        <is>
          <t>43-766-675</t>
        </is>
      </c>
    </row>
    <row r="75" ht="30" customHeight="1">
      <c r="A75" s="4" t="inlineStr">
        <is>
          <t>SFP modullar</t>
        </is>
      </c>
      <c r="B75" s="4" t="inlineStr">
        <is>
          <t>SFP WDM moduli, 3 km gacha LC (6dB), 1310nm</t>
        </is>
      </c>
      <c r="C75" s="5" t="inlineStr"/>
      <c r="D75" s="5" t="n">
        <v>352186</v>
      </c>
      <c r="E75" s="5" t="n">
        <v>314452</v>
      </c>
      <c r="F75" s="5" t="inlineStr"/>
      <c r="G75" s="5" t="inlineStr">
        <is>
          <t>SNR</t>
        </is>
      </c>
      <c r="H75" s="5">
        <f>HYPERLINK("https://itrix.uz/product/768", "🔗 Mahsulot sotib olish")</f>
        <v/>
      </c>
      <c r="I75" t="inlineStr">
        <is>
          <t>43-768-677</t>
        </is>
      </c>
    </row>
    <row r="76" ht="30" customHeight="1">
      <c r="A76" s="4" t="inlineStr">
        <is>
          <t>SFP modullar</t>
        </is>
      </c>
      <c r="B76" s="4" t="inlineStr">
        <is>
          <t>Optik CWDM SFP moduli, 60 km gacha (17dB), 1470nm</t>
        </is>
      </c>
      <c r="C76" s="5" t="inlineStr"/>
      <c r="D76" s="5" t="n">
        <v>1318138</v>
      </c>
      <c r="E76" s="5" t="n">
        <v>1176909</v>
      </c>
      <c r="F76" s="5" t="inlineStr"/>
      <c r="G76" s="5" t="inlineStr">
        <is>
          <t>SNR</t>
        </is>
      </c>
      <c r="H76" s="5">
        <f>HYPERLINK("https://itrix.uz/product/786", "🔗 Mahsulot sotib olish")</f>
        <v/>
      </c>
      <c r="I76" t="inlineStr">
        <is>
          <t>43-786-692</t>
        </is>
      </c>
    </row>
    <row r="77" ht="30" customHeight="1">
      <c r="A77" s="4" t="inlineStr">
        <is>
          <t>Taqsimlash qutilari</t>
        </is>
      </c>
      <c r="B77" s="4" t="inlineStr">
        <is>
          <t>Optik rozetka SNR-FTB-02S</t>
        </is>
      </c>
      <c r="C77" s="5" t="inlineStr"/>
      <c r="D77" s="5" t="n">
        <v>8534</v>
      </c>
      <c r="E77" s="5" t="n">
        <v>7620</v>
      </c>
      <c r="F77" s="5" t="inlineStr"/>
      <c r="G77" s="5" t="inlineStr">
        <is>
          <t>SNR</t>
        </is>
      </c>
      <c r="H77" s="5">
        <f>HYPERLINK("https://itrix.uz/product/769", "🔗 Mahsulot sotib olish")</f>
        <v/>
      </c>
      <c r="I77" t="inlineStr">
        <is>
          <t>43-769-678</t>
        </is>
      </c>
    </row>
    <row r="78" ht="30" customHeight="1">
      <c r="A78" s="4" t="inlineStr">
        <is>
          <t>SFP modullar</t>
        </is>
      </c>
      <c r="B78" s="4" t="inlineStr">
        <is>
          <t>SFP WDM moduli, 80 km gacha (24dB), 1550/1490nm</t>
        </is>
      </c>
      <c r="C78" s="5" t="inlineStr"/>
      <c r="D78" s="5" t="n">
        <v>1259108</v>
      </c>
      <c r="E78" s="5" t="n">
        <v>1124204</v>
      </c>
      <c r="F78" s="5" t="inlineStr"/>
      <c r="G78" s="5" t="inlineStr">
        <is>
          <t>SNR</t>
        </is>
      </c>
      <c r="H78" s="5">
        <f>HYPERLINK("https://itrix.uz/product/777", "🔗 Mahsulot sotib olish")</f>
        <v/>
      </c>
      <c r="I78" t="inlineStr">
        <is>
          <t>43-777-684</t>
        </is>
      </c>
    </row>
    <row r="79" ht="30" customHeight="1">
      <c r="A79" s="4" t="inlineStr">
        <is>
          <t>SFP modullar</t>
        </is>
      </c>
      <c r="B79" s="4" t="inlineStr">
        <is>
          <t>SFP WDM moduli, 80 km gacha (24dB), 1490/1550nm</t>
        </is>
      </c>
      <c r="C79" s="5" t="inlineStr"/>
      <c r="D79" s="5" t="n">
        <v>1354125</v>
      </c>
      <c r="E79" s="5" t="n">
        <v>1209040</v>
      </c>
      <c r="F79" s="5" t="inlineStr"/>
      <c r="G79" s="5" t="inlineStr">
        <is>
          <t>SNR</t>
        </is>
      </c>
      <c r="H79" s="5">
        <f>HYPERLINK("https://itrix.uz/product/778", "🔗 Mahsulot sotib olish")</f>
        <v/>
      </c>
      <c r="I79" t="inlineStr">
        <is>
          <t>43-778-685</t>
        </is>
      </c>
    </row>
    <row r="80" ht="30" customHeight="1">
      <c r="A80" s="4" t="inlineStr">
        <is>
          <t>SFP modullar</t>
        </is>
      </c>
      <c r="B80" s="4" t="inlineStr">
        <is>
          <t>Optik CWDM SFP moduli, 60 km gacha (17dB), 1530nm</t>
        </is>
      </c>
      <c r="C80" s="5" t="inlineStr"/>
      <c r="D80" s="5" t="n">
        <v>1318138</v>
      </c>
      <c r="E80" s="5" t="n">
        <v>1176909</v>
      </c>
      <c r="F80" s="5" t="inlineStr"/>
      <c r="G80" s="5" t="inlineStr">
        <is>
          <t>SNR</t>
        </is>
      </c>
      <c r="H80" s="5">
        <f>HYPERLINK("https://itrix.uz/product/783", "🔗 Mahsulot sotib olish")</f>
        <v/>
      </c>
      <c r="I80" t="inlineStr">
        <is>
          <t>43-783-690</t>
        </is>
      </c>
    </row>
    <row r="81" ht="30" customHeight="1">
      <c r="A81" s="4" t="inlineStr">
        <is>
          <t>SFP modullar</t>
        </is>
      </c>
      <c r="B81" s="4" t="inlineStr">
        <is>
          <t>SFP WDM moduli, 20 km gacha LC (14dB), 1310nm</t>
        </is>
      </c>
      <c r="C81" s="5" t="inlineStr"/>
      <c r="D81" s="5" t="n">
        <v>313497</v>
      </c>
      <c r="E81" s="5" t="n">
        <v>279908</v>
      </c>
      <c r="F81" s="5" t="inlineStr"/>
      <c r="G81" s="5" t="inlineStr">
        <is>
          <t>SNR</t>
        </is>
      </c>
      <c r="H81" s="5">
        <f>HYPERLINK("https://itrix.uz/product/792", "🔗 Mahsulot sotib olish")</f>
        <v/>
      </c>
      <c r="I81" t="inlineStr">
        <is>
          <t>43-792-695</t>
        </is>
      </c>
    </row>
    <row r="82" ht="30" customHeight="1">
      <c r="A82" s="4" t="inlineStr">
        <is>
          <t>SFP modullar</t>
        </is>
      </c>
      <c r="B82" s="4" t="inlineStr">
        <is>
          <t>Optik SFP moduli, 40 km gacha (16dB), 1550nm</t>
        </is>
      </c>
      <c r="C82" s="5" t="inlineStr"/>
      <c r="D82" s="5" t="n">
        <v>1007344</v>
      </c>
      <c r="E82" s="5" t="n">
        <v>899414</v>
      </c>
      <c r="F82" s="5" t="inlineStr"/>
      <c r="G82" s="5" t="inlineStr">
        <is>
          <t>SNR</t>
        </is>
      </c>
      <c r="H82" s="5">
        <f>HYPERLINK("https://itrix.uz/product/793", "🔗 Mahsulot sotib olish")</f>
        <v/>
      </c>
      <c r="I82" t="inlineStr">
        <is>
          <t>43-793-696</t>
        </is>
      </c>
    </row>
    <row r="83" ht="30" customHeight="1">
      <c r="A83" s="4" t="inlineStr">
        <is>
          <t>SFP modullar</t>
        </is>
      </c>
      <c r="B83" s="4" t="inlineStr">
        <is>
          <t>Optik SFP moduli, 550m gacha (7.5dB), 850nm</t>
        </is>
      </c>
      <c r="C83" s="5" t="inlineStr"/>
      <c r="D83" s="5" t="n">
        <v>381914</v>
      </c>
      <c r="E83" s="5" t="n">
        <v>340995</v>
      </c>
      <c r="F83" s="5" t="inlineStr"/>
      <c r="G83" s="5" t="inlineStr">
        <is>
          <t>SNR</t>
        </is>
      </c>
      <c r="H83" s="5">
        <f>HYPERLINK("https://itrix.uz/product/794", "🔗 Mahsulot sotib olish")</f>
        <v/>
      </c>
      <c r="I83" t="inlineStr">
        <is>
          <t>43-794-697</t>
        </is>
      </c>
    </row>
    <row r="84" ht="30" customHeight="1">
      <c r="A84" s="4" t="inlineStr">
        <is>
          <t>SFP modullar</t>
        </is>
      </c>
      <c r="B84" s="4" t="inlineStr">
        <is>
          <t>RJ45 interfeysi bilan SFP moduli, 100m gacha</t>
        </is>
      </c>
      <c r="C84" s="5" t="inlineStr"/>
      <c r="D84" s="5" t="n">
        <v>370820</v>
      </c>
      <c r="E84" s="5" t="n">
        <v>331089</v>
      </c>
      <c r="F84" s="5" t="inlineStr"/>
      <c r="G84" s="5" t="inlineStr">
        <is>
          <t>SNR</t>
        </is>
      </c>
      <c r="H84" s="5">
        <f>HYPERLINK("https://itrix.uz/product/795", "🔗 Mahsulot sotib olish")</f>
        <v/>
      </c>
      <c r="I84" t="inlineStr">
        <is>
          <t>43-795-698</t>
        </is>
      </c>
    </row>
    <row r="85" ht="30" customHeight="1">
      <c r="A85" s="4" t="inlineStr">
        <is>
          <t>SFP modullar</t>
        </is>
      </c>
      <c r="B85" s="4" t="inlineStr">
        <is>
          <t>SFP WDM moduli, 20km gacha (14dB), 1550nm</t>
        </is>
      </c>
      <c r="C85" s="5" t="inlineStr"/>
      <c r="D85" s="5" t="n">
        <v>344790</v>
      </c>
      <c r="E85" s="5" t="n">
        <v>307848</v>
      </c>
      <c r="F85" s="5" t="inlineStr"/>
      <c r="G85" s="5" t="inlineStr">
        <is>
          <t>SNR</t>
        </is>
      </c>
      <c r="H85" s="5">
        <f>HYPERLINK("https://itrix.uz/product/798", "🔗 Mahsulot sotib olish")</f>
        <v/>
      </c>
      <c r="I85" t="inlineStr">
        <is>
          <t>43-798-701</t>
        </is>
      </c>
    </row>
    <row r="86" ht="30" customHeight="1">
      <c r="A86" s="4" t="inlineStr">
        <is>
          <t>SFP modullar</t>
        </is>
      </c>
      <c r="B86" s="4" t="inlineStr">
        <is>
          <t>SFP WDM moduli, 40km gacha (21dB), 1550nm</t>
        </is>
      </c>
      <c r="C86" s="5" t="inlineStr"/>
      <c r="D86" s="5" t="n">
        <v>956991</v>
      </c>
      <c r="E86" s="5" t="n">
        <v>854456</v>
      </c>
      <c r="F86" s="5" t="inlineStr"/>
      <c r="G86" s="5" t="inlineStr">
        <is>
          <t>SNR</t>
        </is>
      </c>
      <c r="H86" s="5">
        <f>HYPERLINK("https://itrix.uz/product/796", "🔗 Mahsulot sotib olish")</f>
        <v/>
      </c>
      <c r="I86" t="inlineStr">
        <is>
          <t>43-796-699</t>
        </is>
      </c>
    </row>
    <row r="87" ht="30" customHeight="1">
      <c r="A87" s="4" t="inlineStr">
        <is>
          <t>SFP modullar</t>
        </is>
      </c>
      <c r="B87" s="4" t="inlineStr">
        <is>
          <t>SFP WDM moduli, 40km gacha (21dB), 1310nm</t>
        </is>
      </c>
      <c r="C87" s="5" t="inlineStr"/>
      <c r="D87" s="5" t="n">
        <v>654588</v>
      </c>
      <c r="E87" s="5" t="n">
        <v>584454</v>
      </c>
      <c r="F87" s="5" t="inlineStr"/>
      <c r="G87" s="5" t="inlineStr">
        <is>
          <t>SNR</t>
        </is>
      </c>
      <c r="H87" s="5">
        <f>HYPERLINK("https://itrix.uz/product/797", "🔗 Mahsulot sotib olish")</f>
        <v/>
      </c>
      <c r="I87" t="inlineStr">
        <is>
          <t>43-797-700</t>
        </is>
      </c>
    </row>
    <row r="88" ht="30" customHeight="1">
      <c r="A88" s="4" t="inlineStr">
        <is>
          <t>SFP modullar</t>
        </is>
      </c>
      <c r="B88" s="4" t="inlineStr">
        <is>
          <t>SFP optik moduli, 20km gacha (14dB), 1310nm</t>
        </is>
      </c>
      <c r="C88" s="5" t="inlineStr"/>
      <c r="D88" s="5" t="n">
        <v>322885</v>
      </c>
      <c r="E88" s="5" t="n">
        <v>288290</v>
      </c>
      <c r="F88" s="5" t="inlineStr"/>
      <c r="G88" s="5" t="inlineStr">
        <is>
          <t>SNR</t>
        </is>
      </c>
      <c r="H88" s="5">
        <f>HYPERLINK("https://itrix.uz/product/799", "🔗 Mahsulot sotib olish")</f>
        <v/>
      </c>
      <c r="I88" t="inlineStr">
        <is>
          <t>43-799-702</t>
        </is>
      </c>
    </row>
    <row r="89">
      <c r="A89" s="4" t="inlineStr">
        <is>
          <t>Abonent terminal qurilmalari (ONU / ONT)</t>
        </is>
      </c>
      <c r="B89" s="4" t="inlineStr">
        <is>
          <t>Abonent terminali ONU BDCOM XPON, 1 port XPON (SC/UPC), 1 GE, plastik korpus, DC12V/0.5A, tashqi adaptör</t>
        </is>
      </c>
      <c r="C89" s="5" t="inlineStr"/>
      <c r="D89" s="5" t="n">
        <v>147645</v>
      </c>
      <c r="E89" s="5" t="n">
        <v>131826</v>
      </c>
      <c r="F89" s="5" t="inlineStr"/>
      <c r="G89" s="5" t="inlineStr"/>
      <c r="H89" s="5">
        <f>HYPERLINK("https://itrix.uz/product/801", "🔗 Mahsulot sotib olish")</f>
        <v/>
      </c>
      <c r="I89" t="inlineStr">
        <is>
          <t>43-801-704</t>
        </is>
      </c>
    </row>
    <row r="90">
      <c r="A90" s="4" t="inlineStr">
        <is>
          <t>OLT uskunalari</t>
        </is>
      </c>
      <c r="B90" s="4" t="inlineStr">
        <is>
          <t>OLT BDCOM 3310, 4 ta GEPON porti (SFP), 2 ta combo porti, 2xSFP, 2xRJ-45, 2 ta AC quvvat manbai, FEC</t>
        </is>
      </c>
      <c r="C90" s="5" t="inlineStr"/>
      <c r="D90" s="5" t="n">
        <v>7034195</v>
      </c>
      <c r="E90" s="5" t="n">
        <v>6280531</v>
      </c>
      <c r="F90" s="5" t="inlineStr"/>
      <c r="G90" s="5" t="inlineStr"/>
      <c r="H90" s="5">
        <f>HYPERLINK("https://itrix.uz/product/804", "🔗 Mahsulot sotib olish")</f>
        <v/>
      </c>
      <c r="I90" t="inlineStr">
        <is>
          <t>43-804-707</t>
        </is>
      </c>
    </row>
    <row r="91" ht="30" customHeight="1">
      <c r="A91" s="4" t="inlineStr">
        <is>
          <t>OLT uskunalari</t>
        </is>
      </c>
      <c r="B91" s="4" t="inlineStr">
        <is>
          <t>OLT BDCOM GP3600-08B, 8 ta GPON porti (SFP), 4 ta combo porti, 4xSFP, 4 SFP+, 2 ta AC quvvat manbai</t>
        </is>
      </c>
      <c r="C91" s="5" t="inlineStr"/>
      <c r="D91" s="5" t="n">
        <v>23939134</v>
      </c>
      <c r="E91" s="5" t="n">
        <v>21374227</v>
      </c>
      <c r="F91" s="5" t="inlineStr"/>
      <c r="G91" s="5" t="inlineStr"/>
      <c r="H91" s="5">
        <f>HYPERLINK("https://itrix.uz/product/805", "🔗 Mahsulot sotib olish")</f>
        <v/>
      </c>
      <c r="I91" t="inlineStr">
        <is>
          <t>43-805-708</t>
        </is>
      </c>
    </row>
    <row r="92">
      <c r="A92" s="4" t="inlineStr">
        <is>
          <t>OLT uskunalari</t>
        </is>
      </c>
      <c r="B92" s="4" t="inlineStr">
        <is>
          <t>OLT BDCOM GP3600-16B, 16 ta GPON porti (SFP), 4 ta combo porti, 4xSFP, 4 SFP+, 2 ta AC quvvat manbai</t>
        </is>
      </c>
      <c r="C92" s="5" t="inlineStr"/>
      <c r="D92" s="5" t="n">
        <v>35362144</v>
      </c>
      <c r="E92" s="5" t="n">
        <v>31573343</v>
      </c>
      <c r="F92" s="5" t="inlineStr"/>
      <c r="G92" s="5" t="inlineStr"/>
      <c r="H92" s="5">
        <f>HYPERLINK("https://itrix.uz/product/806", "🔗 Mahsulot sotib olish")</f>
        <v/>
      </c>
      <c r="I92" t="inlineStr">
        <is>
          <t>43-806-709</t>
        </is>
      </c>
    </row>
    <row r="93">
      <c r="A93" s="4" t="inlineStr">
        <is>
          <t>OLT uskunalari</t>
        </is>
      </c>
      <c r="B93" s="4" t="inlineStr">
        <is>
          <t>Stansion terminali OLT, 8 ta GPON porti (SFP) va 4 ta 10G/SFP+, 4 ta 10/100/1000-Base-T/SFP portlari bilan</t>
        </is>
      </c>
      <c r="C93" s="5" t="inlineStr"/>
      <c r="D93" s="5" t="n">
        <v>43374523</v>
      </c>
      <c r="E93" s="5" t="n">
        <v>38727253</v>
      </c>
      <c r="F93" s="5" t="inlineStr"/>
      <c r="G93" s="5" t="inlineStr"/>
      <c r="H93" s="5">
        <f>HYPERLINK("https://itrix.uz/product/807", "🔗 Mahsulot sotib olish")</f>
        <v/>
      </c>
      <c r="I93" t="inlineStr">
        <is>
          <t>43-807-710</t>
        </is>
      </c>
    </row>
    <row r="94" ht="30" customHeight="1">
      <c r="A94" s="4" t="inlineStr">
        <is>
          <t>SFP+ modullar</t>
        </is>
      </c>
      <c r="B94" s="4" t="inlineStr">
        <is>
          <t>SNR-SFP-W53-3-LC — SFP WDM modul, 1550nm, LC, 3 km gacha (6 dB)</t>
        </is>
      </c>
      <c r="C94" s="5" t="inlineStr"/>
      <c r="D94" s="5" t="n">
        <v>327294</v>
      </c>
      <c r="E94" s="5" t="n">
        <v>292227</v>
      </c>
      <c r="F94" s="5" t="inlineStr"/>
      <c r="G94" s="5" t="inlineStr">
        <is>
          <t>SNR</t>
        </is>
      </c>
      <c r="H94" s="5">
        <f>HYPERLINK("https://itrix.uz/product/882", "🔗 Mahsulot sotib olish")</f>
        <v/>
      </c>
      <c r="I94" t="inlineStr">
        <is>
          <t>43-882-770</t>
        </is>
      </c>
    </row>
    <row r="95" ht="30" customHeight="1">
      <c r="A95" s="4" t="inlineStr">
        <is>
          <t>SFP modullar</t>
        </is>
      </c>
      <c r="B95" s="4" t="inlineStr">
        <is>
          <t>SFP modul Grandstream F-MM850-300M-10G– 10G</t>
        </is>
      </c>
      <c r="C95" s="5" t="inlineStr"/>
      <c r="D95" s="5" t="n">
        <v>273101</v>
      </c>
      <c r="E95" s="5" t="n">
        <v>243840</v>
      </c>
      <c r="F95" s="5" t="inlineStr"/>
      <c r="G95" s="5" t="inlineStr">
        <is>
          <t>Grandstream</t>
        </is>
      </c>
      <c r="H95" s="5">
        <f>HYPERLINK("https://itrix.uz/product/912", "🔗 Mahsulot sotib olish")</f>
        <v/>
      </c>
      <c r="I95" t="inlineStr">
        <is>
          <t>43-912-802</t>
        </is>
      </c>
    </row>
    <row r="96" ht="30" customHeight="1">
      <c r="A96" s="4" t="inlineStr">
        <is>
          <t>SFP modullar</t>
        </is>
      </c>
      <c r="B96" s="4" t="inlineStr">
        <is>
          <t>Modul SFP‑Grandstream F-SM1310-20KM-1.25G</t>
        </is>
      </c>
      <c r="C96" s="5" t="inlineStr"/>
      <c r="D96" s="5" t="n">
        <v>187757</v>
      </c>
      <c r="E96" s="5" t="n">
        <v>167640</v>
      </c>
      <c r="F96" s="5" t="inlineStr"/>
      <c r="G96" s="5" t="inlineStr">
        <is>
          <t>Grandstream</t>
        </is>
      </c>
      <c r="H96" s="5">
        <f>HYPERLINK("https://itrix.uz/product/913", "🔗 Mahsulot sotib olish")</f>
        <v/>
      </c>
      <c r="I96" t="inlineStr">
        <is>
          <t>43-913-803</t>
        </is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tabColor rgb="00E4183C"/>
    <outlinePr summaryBelow="1" summaryRight="1"/>
    <pageSetUpPr/>
  </sheetPr>
  <dimension ref="A1:I47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 ht="30" customHeight="1">
      <c r="A2" s="4" t="inlineStr">
        <is>
          <t>IP-Telefonlar</t>
        </is>
      </c>
      <c r="B2" s="4" t="inlineStr">
        <is>
          <t>Grandstream DP725 DECT Handset – Ixchamli DECT telefoni</t>
        </is>
      </c>
      <c r="C2" s="5" t="inlineStr"/>
      <c r="D2" s="5" t="n">
        <v>733958</v>
      </c>
      <c r="E2" s="5" t="n">
        <v>655320</v>
      </c>
      <c r="F2" s="5" t="inlineStr"/>
      <c r="G2" s="5" t="inlineStr">
        <is>
          <t>Grandstream</t>
        </is>
      </c>
      <c r="H2" s="5">
        <f>HYPERLINK("https://itrix.uz/product/908", "🔗 Mahsulot sotib olish")</f>
        <v/>
      </c>
      <c r="I2" t="inlineStr">
        <is>
          <t>6-908-798</t>
        </is>
      </c>
    </row>
    <row r="3" ht="30" customHeight="1">
      <c r="A3" s="4" t="inlineStr">
        <is>
          <t>IP-Telefonlar</t>
        </is>
      </c>
      <c r="B3" s="4" t="inlineStr">
        <is>
          <t xml:space="preserve"> IP telefon Yealink SIP-T43U</t>
        </is>
      </c>
      <c r="C3" s="5" t="inlineStr"/>
      <c r="D3" s="5" t="n">
        <v>1948688</v>
      </c>
      <c r="E3" s="5" t="n">
        <v>1739900</v>
      </c>
      <c r="F3" s="5" t="inlineStr"/>
      <c r="G3" s="5" t="inlineStr">
        <is>
          <t>Yealink</t>
        </is>
      </c>
      <c r="H3" s="5">
        <f>HYPERLINK("https://itrix.uz/product/321", "🔗 Mahsulot sotib olish")</f>
        <v/>
      </c>
      <c r="I3" t="inlineStr">
        <is>
          <t>6-321-323</t>
        </is>
      </c>
    </row>
    <row r="4" ht="30" customHeight="1">
      <c r="A4" s="4" t="inlineStr">
        <is>
          <t>IP-Telefonlar</t>
        </is>
      </c>
      <c r="B4" s="4" t="inlineStr">
        <is>
          <t>IP telefon Grandstream GXP2170</t>
        </is>
      </c>
      <c r="C4" s="5" t="inlineStr"/>
      <c r="D4" s="5" t="n">
        <v>1920240</v>
      </c>
      <c r="E4" s="5" t="n">
        <v>1714500</v>
      </c>
      <c r="F4" s="5" t="inlineStr"/>
      <c r="G4" s="5" t="inlineStr">
        <is>
          <t>Grandstream</t>
        </is>
      </c>
      <c r="H4" s="5">
        <f>HYPERLINK("https://itrix.uz/product/17", "🔗 Mahsulot sotib olish")</f>
        <v/>
      </c>
      <c r="I4" t="inlineStr">
        <is>
          <t>6-17-16</t>
        </is>
      </c>
    </row>
    <row r="5" ht="30" customHeight="1">
      <c r="A5" s="4" t="inlineStr">
        <is>
          <t>IP-ATS</t>
        </is>
      </c>
      <c r="B5" s="4" t="inlineStr">
        <is>
          <t>IP-ATC Grandstream UCM6301</t>
        </is>
      </c>
      <c r="C5" s="5" t="inlineStr"/>
      <c r="D5" s="5" t="n">
        <v>4167632</v>
      </c>
      <c r="E5" s="5" t="n">
        <v>3721100</v>
      </c>
      <c r="F5" s="5" t="inlineStr"/>
      <c r="G5" s="5" t="inlineStr">
        <is>
          <t>Grandstream</t>
        </is>
      </c>
      <c r="H5" s="5">
        <f>HYPERLINK("https://itrix.uz/product/25", "🔗 Mahsulot sotib olish")</f>
        <v/>
      </c>
      <c r="I5" t="inlineStr">
        <is>
          <t>6-25-24</t>
        </is>
      </c>
    </row>
    <row r="6" ht="30" customHeight="1">
      <c r="A6" s="4" t="inlineStr">
        <is>
          <t>IP-Telefonlar</t>
        </is>
      </c>
      <c r="B6" s="4" t="inlineStr">
        <is>
          <t>Grandstream DP755 DECT VoIP baza stansiyasi</t>
        </is>
      </c>
      <c r="C6" s="5" t="inlineStr"/>
      <c r="D6" s="5" t="n">
        <v>665683</v>
      </c>
      <c r="E6" s="5" t="n">
        <v>594360</v>
      </c>
      <c r="F6" s="5" t="inlineStr"/>
      <c r="G6" s="5" t="inlineStr">
        <is>
          <t>Grandstream</t>
        </is>
      </c>
      <c r="H6" s="5">
        <f>HYPERLINK("https://itrix.uz/product/910", "🔗 Mahsulot sotib olish")</f>
        <v/>
      </c>
      <c r="I6" t="inlineStr">
        <is>
          <t>6-910-800</t>
        </is>
      </c>
    </row>
    <row r="7" ht="30" customHeight="1">
      <c r="A7" s="4" t="inlineStr">
        <is>
          <t>IP-Telefonlar</t>
        </is>
      </c>
      <c r="B7" s="4" t="inlineStr">
        <is>
          <t>IP telefon Grandstream GXP1625</t>
        </is>
      </c>
      <c r="C7" s="5" t="inlineStr"/>
      <c r="D7" s="5" t="n">
        <v>568960</v>
      </c>
      <c r="E7" s="5" t="n">
        <v>508000</v>
      </c>
      <c r="F7" s="5" t="inlineStr"/>
      <c r="G7" s="5" t="inlineStr">
        <is>
          <t>Grandstream</t>
        </is>
      </c>
      <c r="H7" s="5">
        <f>HYPERLINK("https://itrix.uz/product/18", "🔗 Mahsulot sotib olish")</f>
        <v/>
      </c>
      <c r="I7" t="inlineStr">
        <is>
          <t>6-18-17</t>
        </is>
      </c>
    </row>
    <row r="8" ht="30" customHeight="1">
      <c r="A8" s="4" t="inlineStr">
        <is>
          <t>IP-Telefonlar</t>
        </is>
      </c>
      <c r="B8" s="4" t="inlineStr">
        <is>
          <t>IP telefon Grandstream GRP2615</t>
        </is>
      </c>
      <c r="C8" s="5" t="inlineStr"/>
      <c r="D8" s="5" t="n">
        <v>2187793</v>
      </c>
      <c r="E8" s="5" t="n">
        <v>1953387</v>
      </c>
      <c r="F8" s="5" t="n">
        <v>1825625</v>
      </c>
      <c r="G8" s="5" t="inlineStr">
        <is>
          <t>Grandstream</t>
        </is>
      </c>
      <c r="H8" s="5">
        <f>HYPERLINK("https://itrix.uz/product/15", "🔗 Mahsulot sotib olish")</f>
        <v/>
      </c>
      <c r="I8" t="inlineStr">
        <is>
          <t>6-15-14</t>
        </is>
      </c>
    </row>
    <row r="9" ht="30" customHeight="1">
      <c r="A9" s="4" t="inlineStr">
        <is>
          <t>IP-Telefonlar</t>
        </is>
      </c>
      <c r="B9" s="4" t="inlineStr">
        <is>
          <t xml:space="preserve"> IP telefon Yealink SIP-T30P</t>
        </is>
      </c>
      <c r="C9" s="5" t="inlineStr"/>
      <c r="D9" s="5" t="n">
        <v>712338</v>
      </c>
      <c r="E9" s="5" t="n">
        <v>636016</v>
      </c>
      <c r="F9" s="5" t="n">
        <v>594360</v>
      </c>
      <c r="G9" s="5" t="inlineStr">
        <is>
          <t>Yealink</t>
        </is>
      </c>
      <c r="H9" s="5">
        <f>HYPERLINK("https://itrix.uz/product/317", "🔗 Mahsulot sotib olish")</f>
        <v/>
      </c>
      <c r="I9" t="inlineStr">
        <is>
          <t>6-317-319</t>
        </is>
      </c>
    </row>
    <row r="10" ht="30" customHeight="1">
      <c r="A10" s="4" t="inlineStr">
        <is>
          <t>IP-ATS</t>
        </is>
      </c>
      <c r="B10" s="4" t="inlineStr">
        <is>
          <t>VoIP ovozli shlyuz Grandstream GXW4224</t>
        </is>
      </c>
      <c r="C10" s="5" t="inlineStr"/>
      <c r="D10" s="5" t="n">
        <v>8221472</v>
      </c>
      <c r="E10" s="5" t="n">
        <v>7340600</v>
      </c>
      <c r="F10" s="5" t="inlineStr"/>
      <c r="G10" s="5" t="inlineStr">
        <is>
          <t>Grandstream</t>
        </is>
      </c>
      <c r="H10" s="5">
        <f>HYPERLINK("https://itrix.uz/product/30", "🔗 Mahsulot sotib olish")</f>
        <v/>
      </c>
      <c r="I10" t="inlineStr">
        <is>
          <t>6-30-29</t>
        </is>
      </c>
    </row>
    <row r="11" ht="30" customHeight="1">
      <c r="A11" s="4" t="inlineStr">
        <is>
          <t>IP-Telefonlar</t>
        </is>
      </c>
      <c r="B11" s="4" t="inlineStr">
        <is>
          <t xml:space="preserve"> IP telefon Yealink SIP-T31W</t>
        </is>
      </c>
      <c r="C11" s="5" t="inlineStr"/>
      <c r="D11" s="5" t="n">
        <v>927689</v>
      </c>
      <c r="E11" s="5" t="n">
        <v>828294</v>
      </c>
      <c r="F11" s="5" t="n">
        <v>774065</v>
      </c>
      <c r="G11" s="5" t="inlineStr">
        <is>
          <t>Yealink</t>
        </is>
      </c>
      <c r="H11" s="5">
        <f>HYPERLINK("https://itrix.uz/product/318", "🔗 Mahsulot sotib olish")</f>
        <v/>
      </c>
      <c r="I11" t="inlineStr">
        <is>
          <t>6-318-320</t>
        </is>
      </c>
    </row>
    <row r="12" ht="30" customHeight="1">
      <c r="A12" s="4" t="inlineStr">
        <is>
          <t>IP-Telefonlar</t>
        </is>
      </c>
      <c r="B12" s="4" t="inlineStr">
        <is>
          <t xml:space="preserve"> IP telefon Yealink SIP-T46U</t>
        </is>
      </c>
      <c r="C12" s="5" t="inlineStr"/>
      <c r="D12" s="5" t="n">
        <v>3243072</v>
      </c>
      <c r="E12" s="5" t="n">
        <v>2895600</v>
      </c>
      <c r="F12" s="5" t="inlineStr"/>
      <c r="G12" s="5" t="inlineStr">
        <is>
          <t>Yealink</t>
        </is>
      </c>
      <c r="H12" s="5">
        <f>HYPERLINK("https://itrix.uz/product/322", "🔗 Mahsulot sotib olish")</f>
        <v/>
      </c>
      <c r="I12" t="inlineStr">
        <is>
          <t>6-322-324</t>
        </is>
      </c>
    </row>
    <row r="13" ht="30" customHeight="1">
      <c r="A13" s="4" t="inlineStr">
        <is>
          <t>IP-Telefonlar</t>
        </is>
      </c>
      <c r="B13" s="4" t="inlineStr">
        <is>
          <t xml:space="preserve"> IP telefon Yealink SIP-T33P</t>
        </is>
      </c>
      <c r="C13" s="5" t="inlineStr"/>
      <c r="D13" s="5" t="n">
        <v>1180592</v>
      </c>
      <c r="E13" s="5" t="n">
        <v>1054100</v>
      </c>
      <c r="F13" s="5" t="inlineStr"/>
      <c r="G13" s="5" t="inlineStr">
        <is>
          <t>Yealink</t>
        </is>
      </c>
      <c r="H13" s="5">
        <f>HYPERLINK("https://itrix.uz/product/323", "🔗 Mahsulot sotib olish")</f>
        <v/>
      </c>
      <c r="I13" t="inlineStr">
        <is>
          <t>6-323-325</t>
        </is>
      </c>
    </row>
    <row r="14" ht="30" customHeight="1">
      <c r="A14" s="4" t="inlineStr">
        <is>
          <t>IP-Telefonlar</t>
        </is>
      </c>
      <c r="B14" s="4" t="inlineStr">
        <is>
          <t xml:space="preserve"> IP telefon Yealink SIP-T48U</t>
        </is>
      </c>
      <c r="C14" s="5" t="inlineStr"/>
      <c r="D14" s="5" t="n">
        <v>4267200</v>
      </c>
      <c r="E14" s="5" t="n">
        <v>3810000</v>
      </c>
      <c r="F14" s="5" t="inlineStr"/>
      <c r="G14" s="5" t="inlineStr">
        <is>
          <t>Yealink</t>
        </is>
      </c>
      <c r="H14" s="5">
        <f>HYPERLINK("https://itrix.uz/product/324", "🔗 Mahsulot sotib olish")</f>
        <v/>
      </c>
      <c r="I14" t="inlineStr">
        <is>
          <t>6-324-326</t>
        </is>
      </c>
    </row>
    <row r="15" ht="30" customHeight="1">
      <c r="A15" s="4" t="inlineStr">
        <is>
          <t>IP-Telefonlar</t>
        </is>
      </c>
      <c r="B15" s="4" t="inlineStr">
        <is>
          <t>WiFi telefon Grandstream WP810</t>
        </is>
      </c>
      <c r="C15" s="5" t="inlineStr"/>
      <c r="D15" s="5" t="n">
        <v>1834896</v>
      </c>
      <c r="E15" s="5" t="n">
        <v>1638300</v>
      </c>
      <c r="F15" s="5" t="inlineStr"/>
      <c r="G15" s="5" t="inlineStr">
        <is>
          <t>Grandstream</t>
        </is>
      </c>
      <c r="H15" s="5">
        <f>HYPERLINK("https://itrix.uz/product/23", "🔗 Mahsulot sotib olish")</f>
        <v/>
      </c>
      <c r="I15" t="inlineStr">
        <is>
          <t>6-23-22</t>
        </is>
      </c>
    </row>
    <row r="16" ht="30" customHeight="1">
      <c r="A16" s="4" t="inlineStr">
        <is>
          <t>IP-Telefonlar</t>
        </is>
      </c>
      <c r="B16" s="4" t="inlineStr">
        <is>
          <t xml:space="preserve"> IP telefon Yealink SIP-T58W</t>
        </is>
      </c>
      <c r="C16" s="5" t="inlineStr"/>
      <c r="D16" s="5" t="n">
        <v>6159988</v>
      </c>
      <c r="E16" s="5" t="n">
        <v>5499989</v>
      </c>
      <c r="F16" s="5" t="n">
        <v>4730750</v>
      </c>
      <c r="G16" s="5" t="inlineStr">
        <is>
          <t>Yealink</t>
        </is>
      </c>
      <c r="H16" s="5">
        <f>HYPERLINK("https://itrix.uz/product/327", "🔗 Mahsulot sotib olish")</f>
        <v/>
      </c>
      <c r="I16" t="inlineStr">
        <is>
          <t>6-327-329</t>
        </is>
      </c>
    </row>
    <row r="17" ht="30" customHeight="1">
      <c r="A17" s="4" t="inlineStr">
        <is>
          <t>IP-Telefonlar</t>
        </is>
      </c>
      <c r="B17" s="4" t="inlineStr">
        <is>
          <t>IP videotelefon Yealink VP59</t>
        </is>
      </c>
      <c r="C17" s="5" t="inlineStr"/>
      <c r="D17" s="5" t="n">
        <v>11763248</v>
      </c>
      <c r="E17" s="5" t="n">
        <v>10502900</v>
      </c>
      <c r="F17" s="5" t="inlineStr"/>
      <c r="G17" s="5" t="inlineStr">
        <is>
          <t>Yealink</t>
        </is>
      </c>
      <c r="H17" s="5">
        <f>HYPERLINK("https://itrix.uz/product/329", "🔗 Mahsulot sotib olish")</f>
        <v/>
      </c>
      <c r="I17" t="inlineStr">
        <is>
          <t>6-329-331</t>
        </is>
      </c>
    </row>
    <row r="18" ht="30" customHeight="1">
      <c r="A18" s="4" t="inlineStr">
        <is>
          <t>IP-ATS</t>
        </is>
      </c>
      <c r="B18" s="4" t="inlineStr">
        <is>
          <t>IP-ATS Grandstream UCM6510</t>
        </is>
      </c>
      <c r="C18" s="5" t="inlineStr"/>
      <c r="D18" s="5" t="n">
        <v>14764512</v>
      </c>
      <c r="E18" s="5" t="n">
        <v>13182600</v>
      </c>
      <c r="F18" s="5" t="inlineStr"/>
      <c r="G18" s="5" t="inlineStr">
        <is>
          <t>Grandstream</t>
        </is>
      </c>
      <c r="H18" s="5">
        <f>HYPERLINK("https://itrix.uz/product/29", "🔗 Mahsulot sotib olish")</f>
        <v/>
      </c>
      <c r="I18" t="inlineStr">
        <is>
          <t>6-29-28</t>
        </is>
      </c>
    </row>
    <row r="19" ht="30" customHeight="1">
      <c r="A19" s="4" t="inlineStr">
        <is>
          <t>IP-Telefonlar</t>
        </is>
      </c>
      <c r="B19" s="4" t="inlineStr">
        <is>
          <t xml:space="preserve"> Yealink EXP40 kengaytirish moduli</t>
        </is>
      </c>
      <c r="C19" s="5" t="inlineStr"/>
      <c r="D19" s="5" t="n">
        <v>2090928</v>
      </c>
      <c r="E19" s="5" t="n">
        <v>1866900</v>
      </c>
      <c r="F19" s="5" t="inlineStr"/>
      <c r="G19" s="5" t="inlineStr">
        <is>
          <t>Yealink</t>
        </is>
      </c>
      <c r="H19" s="5">
        <f>HYPERLINK("https://itrix.uz/product/330", "🔗 Mahsulot sotib olish")</f>
        <v/>
      </c>
      <c r="I19" t="inlineStr">
        <is>
          <t>6-330-332</t>
        </is>
      </c>
    </row>
    <row r="20" ht="30" customHeight="1">
      <c r="A20" s="4" t="inlineStr">
        <is>
          <t>IP-Telefonlar</t>
        </is>
      </c>
      <c r="B20" s="4" t="inlineStr">
        <is>
          <t xml:space="preserve"> Yealink EXP43 kengaytirish moduli</t>
        </is>
      </c>
      <c r="C20" s="5" t="inlineStr"/>
      <c r="D20" s="5" t="n">
        <v>1763776</v>
      </c>
      <c r="E20" s="5" t="n">
        <v>1574800</v>
      </c>
      <c r="F20" s="5" t="inlineStr"/>
      <c r="G20" s="5" t="inlineStr">
        <is>
          <t>Yealink</t>
        </is>
      </c>
      <c r="H20" s="5">
        <f>HYPERLINK("https://itrix.uz/product/331", "🔗 Mahsulot sotib olish")</f>
        <v/>
      </c>
      <c r="I20" t="inlineStr">
        <is>
          <t>6-331-333</t>
        </is>
      </c>
    </row>
    <row r="21" ht="30" customHeight="1">
      <c r="A21" s="4" t="inlineStr">
        <is>
          <t>IP-Telefonlar</t>
        </is>
      </c>
      <c r="B21" s="4" t="inlineStr">
        <is>
          <t>IP telefon Grandstream GRP2604P</t>
        </is>
      </c>
      <c r="C21" s="5" t="inlineStr"/>
      <c r="D21" s="5" t="n">
        <v>1008055</v>
      </c>
      <c r="E21" s="5" t="n">
        <v>900049</v>
      </c>
      <c r="F21" s="5" t="n">
        <v>777240</v>
      </c>
      <c r="G21" s="5" t="inlineStr">
        <is>
          <t>Grandstream</t>
        </is>
      </c>
      <c r="H21" s="5">
        <f>HYPERLINK("https://itrix.uz/product/12", "🔗 Mahsulot sotib olish")</f>
        <v/>
      </c>
      <c r="I21" t="inlineStr">
        <is>
          <t>6-12-12</t>
        </is>
      </c>
    </row>
    <row r="22" ht="30" customHeight="1">
      <c r="A22" s="4" t="inlineStr">
        <is>
          <t>IP-Telefonlar</t>
        </is>
      </c>
      <c r="B22" s="4" t="inlineStr">
        <is>
          <t>IP telefon Grandstream GXP2160</t>
        </is>
      </c>
      <c r="C22" s="5" t="inlineStr"/>
      <c r="D22" s="5" t="n">
        <v>2005584</v>
      </c>
      <c r="E22" s="5" t="n">
        <v>1790700</v>
      </c>
      <c r="F22" s="5" t="inlineStr"/>
      <c r="G22" s="5" t="inlineStr">
        <is>
          <t>Grandstream</t>
        </is>
      </c>
      <c r="H22" s="5">
        <f>HYPERLINK("https://itrix.uz/product/16", "🔗 Mahsulot sotib olish")</f>
        <v/>
      </c>
      <c r="I22" t="inlineStr">
        <is>
          <t>6-16-15</t>
        </is>
      </c>
    </row>
    <row r="23" ht="30" customHeight="1">
      <c r="A23" s="4" t="inlineStr">
        <is>
          <t>IP-Telefonlar</t>
        </is>
      </c>
      <c r="B23" s="4" t="inlineStr">
        <is>
          <t>Simsiz DECT trubka Grandstream DP72</t>
        </is>
      </c>
      <c r="C23" s="5" t="inlineStr"/>
      <c r="D23" s="5" t="n">
        <v>896112</v>
      </c>
      <c r="E23" s="5" t="n">
        <v>800100</v>
      </c>
      <c r="F23" s="5" t="inlineStr"/>
      <c r="G23" s="5" t="inlineStr">
        <is>
          <t>Grandstream</t>
        </is>
      </c>
      <c r="H23" s="5">
        <f>HYPERLINK("https://itrix.uz/product/19", "🔗 Mahsulot sotib olish")</f>
        <v/>
      </c>
      <c r="I23" t="inlineStr">
        <is>
          <t>6-19-18</t>
        </is>
      </c>
    </row>
    <row r="24" ht="30" customHeight="1">
      <c r="A24" s="4" t="inlineStr">
        <is>
          <t>IP-Telefonlar</t>
        </is>
      </c>
      <c r="B24" s="4" t="inlineStr">
        <is>
          <t xml:space="preserve"> Yealink EXP50 kengaytirish moduli</t>
        </is>
      </c>
      <c r="C24" s="5" t="inlineStr"/>
      <c r="D24" s="5" t="n">
        <v>2035597</v>
      </c>
      <c r="E24" s="5" t="n">
        <v>1817497</v>
      </c>
      <c r="F24" s="5" t="n">
        <v>1698625</v>
      </c>
      <c r="G24" s="5" t="inlineStr">
        <is>
          <t>Yealink</t>
        </is>
      </c>
      <c r="H24" s="5">
        <f>HYPERLINK("https://itrix.uz/product/332", "🔗 Mahsulot sotib olish")</f>
        <v/>
      </c>
      <c r="I24" t="inlineStr">
        <is>
          <t>6-332-334</t>
        </is>
      </c>
    </row>
    <row r="25" ht="30" customHeight="1">
      <c r="A25" s="4" t="inlineStr">
        <is>
          <t>IP-Telefonlar</t>
        </is>
      </c>
      <c r="B25" s="4" t="inlineStr">
        <is>
          <t>DECT-trubka Grandstream DP730</t>
        </is>
      </c>
      <c r="C25" s="5" t="inlineStr"/>
      <c r="D25" s="5" t="n">
        <v>1308608</v>
      </c>
      <c r="E25" s="5" t="n">
        <v>1168400</v>
      </c>
      <c r="F25" s="5" t="inlineStr"/>
      <c r="G25" s="5" t="inlineStr">
        <is>
          <t>Grandstream</t>
        </is>
      </c>
      <c r="H25" s="5">
        <f>HYPERLINK("https://itrix.uz/product/20", "🔗 Mahsulot sotib olish")</f>
        <v/>
      </c>
      <c r="I25" t="inlineStr">
        <is>
          <t>6-20-19</t>
        </is>
      </c>
    </row>
    <row r="26" ht="30" customHeight="1">
      <c r="A26" s="4" t="inlineStr">
        <is>
          <t>IP-Telefonlar</t>
        </is>
      </c>
      <c r="B26" s="4" t="inlineStr">
        <is>
          <t>IP videotelefon Grandstream GXV3350</t>
        </is>
      </c>
      <c r="C26" s="5" t="inlineStr"/>
      <c r="D26" s="5" t="n">
        <v>3766942</v>
      </c>
      <c r="E26" s="5" t="n">
        <v>3363341</v>
      </c>
      <c r="F26" s="5" t="n">
        <v>3143250</v>
      </c>
      <c r="G26" s="5" t="inlineStr">
        <is>
          <t>Grandstream</t>
        </is>
      </c>
      <c r="H26" s="5">
        <f>HYPERLINK("https://itrix.uz/product/22", "🔗 Mahsulot sotib olish")</f>
        <v/>
      </c>
      <c r="I26" t="inlineStr">
        <is>
          <t>6-22-21</t>
        </is>
      </c>
    </row>
    <row r="27" ht="30" customHeight="1">
      <c r="A27" s="4" t="inlineStr">
        <is>
          <t>IP-Telefonlar</t>
        </is>
      </c>
      <c r="B27" s="4" t="inlineStr">
        <is>
          <t>Wi-Fi IP telefoni Grandstream WP820</t>
        </is>
      </c>
      <c r="C27" s="5" t="inlineStr"/>
      <c r="D27" s="5" t="n">
        <v>2503424</v>
      </c>
      <c r="E27" s="5" t="n">
        <v>2235200</v>
      </c>
      <c r="F27" s="5" t="inlineStr"/>
      <c r="G27" s="5" t="inlineStr">
        <is>
          <t>Grandstream</t>
        </is>
      </c>
      <c r="H27" s="5">
        <f>HYPERLINK("https://itrix.uz/product/24", "🔗 Mahsulot sotib olish")</f>
        <v/>
      </c>
      <c r="I27" t="inlineStr">
        <is>
          <t>6-24-23</t>
        </is>
      </c>
    </row>
    <row r="28" ht="30" customHeight="1">
      <c r="A28" s="4" t="inlineStr">
        <is>
          <t>IP-ATS</t>
        </is>
      </c>
      <c r="B28" s="4" t="inlineStr">
        <is>
          <t>IP-ATS Grandstream UCM6308</t>
        </is>
      </c>
      <c r="C28" s="5" t="inlineStr"/>
      <c r="D28" s="5" t="n">
        <v>14300383</v>
      </c>
      <c r="E28" s="5" t="n">
        <v>12768199</v>
      </c>
      <c r="F28" s="5" t="n">
        <v>11932920</v>
      </c>
      <c r="G28" s="5" t="inlineStr">
        <is>
          <t>Grandstream</t>
        </is>
      </c>
      <c r="H28" s="5">
        <f>HYPERLINK("https://itrix.uz/product/26", "🔗 Mahsulot sotib olish")</f>
        <v/>
      </c>
      <c r="I28" t="inlineStr">
        <is>
          <t>6-26-25</t>
        </is>
      </c>
    </row>
    <row r="29" ht="30" customHeight="1">
      <c r="A29" s="4" t="inlineStr">
        <is>
          <t>IP-Telefonlar</t>
        </is>
      </c>
      <c r="B29" s="4" t="inlineStr">
        <is>
          <t xml:space="preserve"> Kengaytirish moduli Grandstream GBX20</t>
        </is>
      </c>
      <c r="C29" s="5" t="inlineStr"/>
      <c r="D29" s="5" t="n">
        <v>1732768</v>
      </c>
      <c r="E29" s="5" t="n">
        <v>1547114</v>
      </c>
      <c r="F29" s="5" t="n">
        <v>1445895</v>
      </c>
      <c r="G29" s="5" t="inlineStr"/>
      <c r="H29" s="5">
        <f>HYPERLINK("https://itrix.uz/product/597", "🔗 Mahsulot sotib olish")</f>
        <v/>
      </c>
      <c r="I29" t="inlineStr">
        <is>
          <t>6-597-552</t>
        </is>
      </c>
    </row>
    <row r="30" ht="30" customHeight="1">
      <c r="A30" s="4" t="inlineStr">
        <is>
          <t>IP-ATS</t>
        </is>
      </c>
      <c r="B30" s="4" t="inlineStr">
        <is>
          <t>IP-ATS Grandstream UCM6204</t>
        </is>
      </c>
      <c r="C30" s="5" t="inlineStr"/>
      <c r="D30" s="5" t="n">
        <v>6130544</v>
      </c>
      <c r="E30" s="5" t="n">
        <v>5473700</v>
      </c>
      <c r="F30" s="5" t="inlineStr"/>
      <c r="G30" s="5" t="inlineStr">
        <is>
          <t>Grandstream</t>
        </is>
      </c>
      <c r="H30" s="5">
        <f>HYPERLINK("https://itrix.uz/product/27", "🔗 Mahsulot sotib olish")</f>
        <v/>
      </c>
      <c r="I30" t="inlineStr">
        <is>
          <t>6-27-26</t>
        </is>
      </c>
    </row>
    <row r="31" ht="30" customHeight="1">
      <c r="A31" s="4" t="inlineStr">
        <is>
          <t>IP-Telefonlar</t>
        </is>
      </c>
      <c r="B31" s="4" t="inlineStr">
        <is>
          <t>IP telefon Grandstream GAC2570 – professional konferensiya telefoni</t>
        </is>
      </c>
      <c r="C31" s="5" t="inlineStr"/>
      <c r="D31" s="5" t="n">
        <v>8210093</v>
      </c>
      <c r="E31" s="5" t="n">
        <v>7330440</v>
      </c>
      <c r="F31" s="5" t="inlineStr"/>
      <c r="G31" s="5" t="inlineStr">
        <is>
          <t>Grandstream</t>
        </is>
      </c>
      <c r="H31" s="5">
        <f>HYPERLINK("https://itrix.uz/product/914", "🔗 Mahsulot sotib olish")</f>
        <v/>
      </c>
      <c r="I31" t="inlineStr">
        <is>
          <t>6-914-804</t>
        </is>
      </c>
    </row>
    <row r="32" ht="30" customHeight="1">
      <c r="A32" s="4" t="inlineStr">
        <is>
          <t>IP-ATS</t>
        </is>
      </c>
      <c r="B32" s="4" t="inlineStr">
        <is>
          <t>IP-ATS Grandstream UCM6208</t>
        </is>
      </c>
      <c r="C32" s="5" t="inlineStr"/>
      <c r="D32" s="5" t="n">
        <v>9402064</v>
      </c>
      <c r="E32" s="5" t="n">
        <v>8394700</v>
      </c>
      <c r="F32" s="5" t="inlineStr"/>
      <c r="G32" s="5" t="inlineStr">
        <is>
          <t>Grandstream</t>
        </is>
      </c>
      <c r="H32" s="5">
        <f>HYPERLINK("https://itrix.uz/product/28", "🔗 Mahsulot sotib olish")</f>
        <v/>
      </c>
      <c r="I32" t="inlineStr">
        <is>
          <t>6-28-27</t>
        </is>
      </c>
    </row>
    <row r="33" ht="30" customHeight="1">
      <c r="A33" s="4" t="inlineStr">
        <is>
          <t>IP-Telefonlar</t>
        </is>
      </c>
      <c r="B33" s="4" t="inlineStr">
        <is>
          <t xml:space="preserve"> IP telefon Yealink SIP-T58W Pro</t>
        </is>
      </c>
      <c r="C33" s="5" t="inlineStr"/>
      <c r="D33" s="5" t="n">
        <v>7914234</v>
      </c>
      <c r="E33" s="5" t="n">
        <v>7066280</v>
      </c>
      <c r="F33" s="5" t="n">
        <v>6604000</v>
      </c>
      <c r="G33" s="5" t="inlineStr">
        <is>
          <t>Yealink</t>
        </is>
      </c>
      <c r="H33" s="5">
        <f>HYPERLINK("https://itrix.uz/product/328", "🔗 Mahsulot sotib olish")</f>
        <v/>
      </c>
      <c r="I33" t="inlineStr">
        <is>
          <t>6-328-330</t>
        </is>
      </c>
    </row>
    <row r="34" ht="30" customHeight="1">
      <c r="A34" s="4" t="inlineStr">
        <is>
          <t>IP-ATS</t>
        </is>
      </c>
      <c r="B34" s="4" t="inlineStr">
        <is>
          <t>VoIP ovozli shlyuz Grandstream GXW4232</t>
        </is>
      </c>
      <c r="C34" s="5" t="inlineStr"/>
      <c r="D34" s="5" t="n">
        <v>9800336</v>
      </c>
      <c r="E34" s="5" t="n">
        <v>8750300</v>
      </c>
      <c r="F34" s="5" t="inlineStr"/>
      <c r="G34" s="5" t="inlineStr">
        <is>
          <t>Grandstream</t>
        </is>
      </c>
      <c r="H34" s="5">
        <f>HYPERLINK("https://itrix.uz/product/31", "🔗 Mahsulot sotib olish")</f>
        <v/>
      </c>
      <c r="I34" t="inlineStr">
        <is>
          <t>6-31-30</t>
        </is>
      </c>
    </row>
    <row r="35" ht="30" customHeight="1">
      <c r="A35" s="4" t="inlineStr">
        <is>
          <t>IP-Telefonlar</t>
        </is>
      </c>
      <c r="B35" s="4" t="inlineStr">
        <is>
          <t xml:space="preserve"> IP telefon Yealink SIP-T34W</t>
        </is>
      </c>
      <c r="C35" s="5" t="inlineStr"/>
      <c r="D35" s="5" t="n">
        <v>1479296</v>
      </c>
      <c r="E35" s="5" t="n">
        <v>1320800</v>
      </c>
      <c r="F35" s="5" t="n">
        <v>1234440</v>
      </c>
      <c r="G35" s="5" t="inlineStr">
        <is>
          <t>Yealink</t>
        </is>
      </c>
      <c r="H35" s="5">
        <f>HYPERLINK("https://itrix.uz/product/319", "🔗 Mahsulot sotib olish")</f>
        <v/>
      </c>
      <c r="I35" t="inlineStr">
        <is>
          <t>6-319-321</t>
        </is>
      </c>
    </row>
    <row r="36" ht="30" customHeight="1">
      <c r="A36" s="4" t="inlineStr">
        <is>
          <t>IP-Telefonlar</t>
        </is>
      </c>
      <c r="B36" s="4" t="inlineStr">
        <is>
          <t xml:space="preserve"> IP telefon Yealink SIP-T44W</t>
        </is>
      </c>
      <c r="C36" s="5" t="inlineStr"/>
      <c r="D36" s="5" t="n">
        <v>2204720</v>
      </c>
      <c r="E36" s="5" t="n">
        <v>1968500</v>
      </c>
      <c r="F36" s="5" t="inlineStr"/>
      <c r="G36" s="5" t="inlineStr">
        <is>
          <t>Yealink</t>
        </is>
      </c>
      <c r="H36" s="5">
        <f>HYPERLINK("https://itrix.uz/product/320", "🔗 Mahsulot sotib olish")</f>
        <v/>
      </c>
      <c r="I36" t="inlineStr">
        <is>
          <t>6-320-322</t>
        </is>
      </c>
    </row>
    <row r="37" ht="30" customHeight="1">
      <c r="A37" s="4" t="inlineStr">
        <is>
          <t>IP-Telefonlar</t>
        </is>
      </c>
      <c r="B37" s="4" t="inlineStr">
        <is>
          <t xml:space="preserve"> IP telefon Yealink SIP-T53W</t>
        </is>
      </c>
      <c r="C37" s="5" t="inlineStr"/>
      <c r="D37" s="5" t="n">
        <v>3285744</v>
      </c>
      <c r="E37" s="5" t="n">
        <v>2933700</v>
      </c>
      <c r="F37" s="5" t="inlineStr"/>
      <c r="G37" s="5" t="inlineStr">
        <is>
          <t>Yealink</t>
        </is>
      </c>
      <c r="H37" s="5">
        <f>HYPERLINK("https://itrix.uz/product/325", "🔗 Mahsulot sotib olish")</f>
        <v/>
      </c>
      <c r="I37" t="inlineStr">
        <is>
          <t>6-325-327</t>
        </is>
      </c>
    </row>
    <row r="38" ht="30" customHeight="1">
      <c r="A38" s="4" t="inlineStr">
        <is>
          <t>IP-Telefonlar</t>
        </is>
      </c>
      <c r="B38" s="4" t="inlineStr">
        <is>
          <t xml:space="preserve"> IP telefon Yealink SIP-T54W</t>
        </is>
      </c>
      <c r="C38" s="5" t="inlineStr"/>
      <c r="D38" s="5" t="n">
        <v>4139184</v>
      </c>
      <c r="E38" s="5" t="n">
        <v>3695700</v>
      </c>
      <c r="F38" s="5" t="inlineStr"/>
      <c r="G38" s="5" t="inlineStr">
        <is>
          <t>Yealink</t>
        </is>
      </c>
      <c r="H38" s="5">
        <f>HYPERLINK("https://itrix.uz/product/326", "🔗 Mahsulot sotib olish")</f>
        <v/>
      </c>
      <c r="I38" t="inlineStr">
        <is>
          <t>6-326-328</t>
        </is>
      </c>
    </row>
    <row r="39" ht="30" customHeight="1">
      <c r="A39" s="4" t="inlineStr">
        <is>
          <t>IP-Telefonlar</t>
        </is>
      </c>
      <c r="B39" s="4" t="inlineStr">
        <is>
          <t>IP telefon Grandstream GRP2612 (PoE siz)</t>
        </is>
      </c>
      <c r="C39" s="5" t="inlineStr"/>
      <c r="D39" s="5" t="n">
        <v>853440</v>
      </c>
      <c r="E39" s="5" t="n">
        <v>762000</v>
      </c>
      <c r="F39" s="5" t="inlineStr"/>
      <c r="G39" s="5" t="inlineStr">
        <is>
          <t>Grandstream</t>
        </is>
      </c>
      <c r="H39" s="5">
        <f>HYPERLINK("https://itrix.uz/product/14", "🔗 Mahsulot sotib olish")</f>
        <v/>
      </c>
      <c r="I39" t="inlineStr">
        <is>
          <t>6-14-13</t>
        </is>
      </c>
    </row>
    <row r="40" ht="30" customHeight="1">
      <c r="A40" s="4" t="inlineStr">
        <is>
          <t>IP-Telefonlar</t>
        </is>
      </c>
      <c r="B40" s="4" t="inlineStr">
        <is>
          <t xml:space="preserve"> IP telefon Grandstream GRP2636</t>
        </is>
      </c>
      <c r="C40" s="5" t="inlineStr"/>
      <c r="D40" s="5" t="n">
        <v>2187793</v>
      </c>
      <c r="E40" s="5" t="n">
        <v>1953387</v>
      </c>
      <c r="F40" s="5" t="n">
        <v>1825625</v>
      </c>
      <c r="G40" s="5" t="inlineStr">
        <is>
          <t>Grandstream</t>
        </is>
      </c>
      <c r="H40" s="5">
        <f>HYPERLINK("https://itrix.uz/product/369", "🔗 Mahsulot sotib olish")</f>
        <v/>
      </c>
      <c r="I40" t="inlineStr">
        <is>
          <t>6-369-374</t>
        </is>
      </c>
    </row>
    <row r="41" ht="30" customHeight="1">
      <c r="A41" s="4" t="inlineStr">
        <is>
          <t>IP-Telefonlar</t>
        </is>
      </c>
      <c r="B41" s="4" t="inlineStr">
        <is>
          <t xml:space="preserve"> IP telefon Grandstream GRP2612P</t>
        </is>
      </c>
      <c r="C41" s="5" t="inlineStr"/>
      <c r="D41" s="5" t="n">
        <v>996818</v>
      </c>
      <c r="E41" s="5" t="n">
        <v>890016</v>
      </c>
      <c r="F41" s="5" t="n">
        <v>716280</v>
      </c>
      <c r="G41" s="5" t="inlineStr">
        <is>
          <t>Grandstream</t>
        </is>
      </c>
      <c r="H41" s="5">
        <f>HYPERLINK("https://itrix.uz/product/513", "🔗 Mahsulot sotib olish")</f>
        <v/>
      </c>
      <c r="I41" t="inlineStr">
        <is>
          <t>6-513-491</t>
        </is>
      </c>
    </row>
    <row r="42" ht="30" customHeight="1">
      <c r="A42" s="4" t="inlineStr">
        <is>
          <t>IP-Telefonlar</t>
        </is>
      </c>
      <c r="B42" s="4" t="inlineStr">
        <is>
          <t>Grandstream DP752</t>
        </is>
      </c>
      <c r="C42" s="5" t="inlineStr"/>
      <c r="D42" s="5" t="n">
        <v>768096</v>
      </c>
      <c r="E42" s="5" t="n">
        <v>685800</v>
      </c>
      <c r="F42" s="5" t="inlineStr"/>
      <c r="G42" s="5" t="inlineStr">
        <is>
          <t>Grandstream</t>
        </is>
      </c>
      <c r="H42" s="5">
        <f>HYPERLINK("https://itrix.uz/product/21", "🔗 Mahsulot sotib olish")</f>
        <v/>
      </c>
      <c r="I42" t="inlineStr">
        <is>
          <t>6-21-20</t>
        </is>
      </c>
    </row>
    <row r="43" ht="30" customHeight="1">
      <c r="A43" s="4" t="inlineStr">
        <is>
          <t>IP-ATS</t>
        </is>
      </c>
      <c r="B43" s="4" t="inlineStr">
        <is>
          <t>IP ATC Grandstream UCM6304</t>
        </is>
      </c>
      <c r="C43" s="5" t="inlineStr"/>
      <c r="D43" s="5" t="n">
        <v>11424006</v>
      </c>
      <c r="E43" s="5" t="n">
        <v>10200005</v>
      </c>
      <c r="F43" s="5" t="n">
        <v>8636000</v>
      </c>
      <c r="G43" s="5" t="inlineStr">
        <is>
          <t>Grandstream</t>
        </is>
      </c>
      <c r="H43" s="5">
        <f>HYPERLINK("https://itrix.uz/product/598", "🔗 Mahsulot sotib olish")</f>
        <v/>
      </c>
      <c r="I43" t="inlineStr">
        <is>
          <t>6-598-553</t>
        </is>
      </c>
    </row>
    <row r="44" ht="30" customHeight="1">
      <c r="A44" s="4" t="inlineStr">
        <is>
          <t>IP-ATS</t>
        </is>
      </c>
      <c r="B44" s="4" t="inlineStr">
        <is>
          <t xml:space="preserve">IP-АТС - Grandstream GCC6011 </t>
        </is>
      </c>
      <c r="C44" s="5" t="inlineStr"/>
      <c r="D44" s="5" t="n">
        <v>3516173</v>
      </c>
      <c r="E44" s="5" t="n">
        <v>3139440</v>
      </c>
      <c r="F44" s="5" t="inlineStr"/>
      <c r="G44" s="5" t="inlineStr">
        <is>
          <t>Grandstream</t>
        </is>
      </c>
      <c r="H44" s="5">
        <f>HYPERLINK("https://itrix.uz/product/916", "🔗 Mahsulot sotib olish")</f>
        <v/>
      </c>
      <c r="I44" t="inlineStr">
        <is>
          <t>6-916-806</t>
        </is>
      </c>
    </row>
    <row r="45" ht="30" customHeight="1">
      <c r="A45" s="4" t="inlineStr">
        <is>
          <t>IP-Telefonlar</t>
        </is>
      </c>
      <c r="B45" s="4" t="inlineStr">
        <is>
          <t>IP DECT Телефон Grandstream DP720</t>
        </is>
      </c>
      <c r="C45" s="5" t="inlineStr"/>
      <c r="D45" s="5" t="n">
        <v>682752</v>
      </c>
      <c r="E45" s="5" t="n">
        <v>609600</v>
      </c>
      <c r="F45" s="5" t="inlineStr"/>
      <c r="G45" s="5" t="inlineStr">
        <is>
          <t>Grandstream</t>
        </is>
      </c>
      <c r="H45" s="5">
        <f>HYPERLINK("https://itrix.uz/product/907", "🔗 Mahsulot sotib olish")</f>
        <v/>
      </c>
      <c r="I45" t="inlineStr">
        <is>
          <t>6-907-797</t>
        </is>
      </c>
    </row>
    <row r="46" ht="30" customHeight="1">
      <c r="A46" s="4" t="inlineStr">
        <is>
          <t>IP-Telefonlar</t>
        </is>
      </c>
      <c r="B46" s="4" t="inlineStr">
        <is>
          <t xml:space="preserve">IP telefon Grandstream GRP2602P </t>
        </is>
      </c>
      <c r="C46" s="5" t="inlineStr"/>
      <c r="D46" s="5" t="n">
        <v>716747</v>
      </c>
      <c r="E46" s="5" t="n">
        <v>639953</v>
      </c>
      <c r="F46" s="5" t="n">
        <v>539750</v>
      </c>
      <c r="G46" s="5" t="inlineStr">
        <is>
          <t>Grandstream</t>
        </is>
      </c>
      <c r="H46" s="5">
        <f>HYPERLINK("https://itrix.uz/product/11", "🔗 Mahsulot sotib olish")</f>
        <v/>
      </c>
      <c r="I46" t="inlineStr">
        <is>
          <t>6-11-11</t>
        </is>
      </c>
    </row>
    <row r="47" ht="30" customHeight="1">
      <c r="A47" s="4" t="inlineStr">
        <is>
          <t>IP-Telefonlar</t>
        </is>
      </c>
      <c r="B47" s="4" t="inlineStr">
        <is>
          <t>IP telefon Grandstream GRP2601P</t>
        </is>
      </c>
      <c r="C47" s="5" t="inlineStr">
        <is>
          <t>Kafolat 1 oy</t>
        </is>
      </c>
      <c r="D47" s="5" t="n">
        <v>560141</v>
      </c>
      <c r="E47" s="5" t="n">
        <v>500126</v>
      </c>
      <c r="F47" s="5" t="n">
        <v>467360</v>
      </c>
      <c r="G47" s="5" t="inlineStr">
        <is>
          <t>Grandstream</t>
        </is>
      </c>
      <c r="H47" s="5">
        <f>HYPERLINK("https://itrix.uz/product/10", "🔗 Mahsulot sotib olish")</f>
        <v/>
      </c>
      <c r="I47" t="inlineStr">
        <is>
          <t>6-10-265</t>
        </is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tabColor rgb="005FC32A"/>
    <outlinePr summaryBelow="1" summaryRight="1"/>
    <pageSetUpPr/>
  </sheetPr>
  <dimension ref="A1:I13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1" t="inlineStr">
        <is>
          <t>Kategoriya</t>
        </is>
      </c>
      <c r="B1" s="1" t="inlineStr">
        <is>
          <t>Mahsulot nomi</t>
        </is>
      </c>
      <c r="C1" s="2" t="inlineStr">
        <is>
          <t>Kafolat</t>
        </is>
      </c>
      <c r="D1" s="2" t="inlineStr">
        <is>
          <t>QQS bilan narxi</t>
        </is>
      </c>
      <c r="E1" s="2" t="inlineStr">
        <is>
          <t>QQSsiz narxi</t>
        </is>
      </c>
      <c r="F1" s="2" t="inlineStr">
        <is>
          <t>5 dona dan</t>
        </is>
      </c>
      <c r="G1" s="2" t="inlineStr">
        <is>
          <t>Brend</t>
        </is>
      </c>
      <c r="H1" s="2" t="inlineStr">
        <is>
          <t>Saytda</t>
        </is>
      </c>
      <c r="I1" s="3" t="inlineStr">
        <is>
          <t>SKU</t>
        </is>
      </c>
    </row>
    <row r="2" ht="30" customHeight="1">
      <c r="A2" s="4" t="inlineStr">
        <is>
          <t>Faervollar</t>
        </is>
      </c>
      <c r="B2" s="4" t="inlineStr">
        <is>
          <t xml:space="preserve"> Fortinet FortiGate 61F tarmoq xavfsizlik devori</t>
        </is>
      </c>
      <c r="C2" s="5" t="inlineStr"/>
      <c r="D2" s="5" t="n">
        <v>11312063</v>
      </c>
      <c r="E2" s="5" t="n">
        <v>10100056</v>
      </c>
      <c r="F2" s="5" t="n">
        <v>8239125</v>
      </c>
      <c r="G2" s="5" t="inlineStr">
        <is>
          <t>Fortinet</t>
        </is>
      </c>
      <c r="H2" s="5">
        <f>HYPERLINK("https://itrix.uz/product/509", "🔗 Mahsulot sotib olish")</f>
        <v/>
      </c>
      <c r="I2" t="inlineStr">
        <is>
          <t>5-509-487</t>
        </is>
      </c>
    </row>
    <row r="3" ht="30" customHeight="1">
      <c r="A3" s="4" t="inlineStr">
        <is>
          <t>Faervollar</t>
        </is>
      </c>
      <c r="B3" s="4" t="inlineStr">
        <is>
          <t>Zyxel ZyWALL USG FLEX 500 tarmoq xavfsizlik devori — korxona darajasidagi UTM himoya yechimi</t>
        </is>
      </c>
      <c r="C3" s="5" t="inlineStr"/>
      <c r="D3" s="5" t="n">
        <v>33739328</v>
      </c>
      <c r="E3" s="5" t="n">
        <v>30124400</v>
      </c>
      <c r="F3" s="5" t="inlineStr"/>
      <c r="G3" s="5" t="inlineStr">
        <is>
          <t>Zyxel</t>
        </is>
      </c>
      <c r="H3" s="5">
        <f>HYPERLINK("https://itrix.uz/product/228", "🔗 Mahsulot sotib olish")</f>
        <v/>
      </c>
      <c r="I3" t="inlineStr">
        <is>
          <t>5-228-230</t>
        </is>
      </c>
    </row>
    <row r="4">
      <c r="A4" s="4" t="inlineStr">
        <is>
          <t>Faervollar</t>
        </is>
      </c>
      <c r="B4" s="4" t="inlineStr">
        <is>
          <t>Zyxel ZyWALL USG FLEX 700 tarmoq xavfsizlik devori — yirik korxonalar uchun ilg‘or UTM xavfsizlik tizimi</t>
        </is>
      </c>
      <c r="C4" s="5" t="inlineStr"/>
      <c r="D4" s="5" t="n">
        <v>45929296</v>
      </c>
      <c r="E4" s="5" t="n">
        <v>41008300</v>
      </c>
      <c r="F4" s="5" t="inlineStr"/>
      <c r="G4" s="5" t="inlineStr">
        <is>
          <t>Zyxel</t>
        </is>
      </c>
      <c r="H4" s="5">
        <f>HYPERLINK("https://itrix.uz/product/229", "🔗 Mahsulot sotib olish")</f>
        <v/>
      </c>
      <c r="I4" t="inlineStr">
        <is>
          <t>5-229-231</t>
        </is>
      </c>
    </row>
    <row r="5" ht="30" customHeight="1">
      <c r="A5" s="4" t="inlineStr">
        <is>
          <t>Faervollar</t>
        </is>
      </c>
      <c r="B5" s="4" t="inlineStr">
        <is>
          <t>Fortinet FortiGate 80F tarmoq xavfsizlik devori</t>
        </is>
      </c>
      <c r="C5" s="5" t="inlineStr"/>
      <c r="D5" s="5" t="n">
        <v>20326096</v>
      </c>
      <c r="E5" s="5" t="n">
        <v>18148300</v>
      </c>
      <c r="F5" s="5" t="inlineStr"/>
      <c r="G5" s="5" t="inlineStr">
        <is>
          <t>Fortinet</t>
        </is>
      </c>
      <c r="H5" s="5">
        <f>HYPERLINK("https://itrix.uz/product/510", "🔗 Mahsulot sotib olish")</f>
        <v/>
      </c>
      <c r="I5" t="inlineStr">
        <is>
          <t>5-510-488</t>
        </is>
      </c>
    </row>
    <row r="6">
      <c r="A6" s="4" t="inlineStr">
        <is>
          <t>Faervollar</t>
        </is>
      </c>
      <c r="B6" s="4" t="inlineStr">
        <is>
          <t>Zyxel ZyWALL ATP800 tarmoq xavfsizlik devori — sun’iy intellektli ilg‘or tahdidlarga qarshi himoya (ATP) tizimi</t>
        </is>
      </c>
      <c r="C6" s="5" t="inlineStr"/>
      <c r="D6" s="5" t="n">
        <v>89156032</v>
      </c>
      <c r="E6" s="5" t="n">
        <v>79603600</v>
      </c>
      <c r="F6" s="5" t="inlineStr"/>
      <c r="G6" s="5" t="inlineStr">
        <is>
          <t>Zyxel</t>
        </is>
      </c>
      <c r="H6" s="5">
        <f>HYPERLINK("https://itrix.uz/product/231", "🔗 Mahsulot sotib olish")</f>
        <v/>
      </c>
      <c r="I6" t="inlineStr">
        <is>
          <t>5-231-233</t>
        </is>
      </c>
    </row>
    <row r="7" ht="30" customHeight="1">
      <c r="A7" s="4" t="inlineStr">
        <is>
          <t>Faervollar</t>
        </is>
      </c>
      <c r="B7" s="4" t="inlineStr">
        <is>
          <t>FortiGate 1800F (FG-1800F) korporativ xavfsizlik devori</t>
        </is>
      </c>
      <c r="C7" s="5" t="inlineStr"/>
      <c r="D7" s="5" t="n">
        <v>554736000</v>
      </c>
      <c r="E7" s="5" t="n">
        <v>495300000</v>
      </c>
      <c r="F7" s="5" t="inlineStr"/>
      <c r="G7" s="5" t="inlineStr">
        <is>
          <t>Fortinet</t>
        </is>
      </c>
      <c r="H7" s="5">
        <f>HYPERLINK("https://itrix.uz/product/610", "🔗 Mahsulot sotib olish")</f>
        <v/>
      </c>
      <c r="I7" t="inlineStr">
        <is>
          <t>5-610-564</t>
        </is>
      </c>
    </row>
    <row r="8" ht="30" customHeight="1">
      <c r="A8" s="4" t="inlineStr">
        <is>
          <t>Faervollar</t>
        </is>
      </c>
      <c r="B8" s="4" t="inlineStr">
        <is>
          <t xml:space="preserve"> Fortinet FortiGate 100F tarmoqlararo ekran</t>
        </is>
      </c>
      <c r="C8" s="5" t="inlineStr"/>
      <c r="D8" s="5" t="n">
        <v>35840071</v>
      </c>
      <c r="E8" s="5" t="n">
        <v>32000063</v>
      </c>
      <c r="F8" s="5" t="n">
        <v>24606250</v>
      </c>
      <c r="G8" s="5" t="inlineStr">
        <is>
          <t>Fortinet</t>
        </is>
      </c>
      <c r="H8" s="5">
        <f>HYPERLINK("https://itrix.uz/product/365", "🔗 Mahsulot sotib olish")</f>
        <v/>
      </c>
      <c r="I8" t="inlineStr">
        <is>
          <t>5-365-370</t>
        </is>
      </c>
    </row>
    <row r="9">
      <c r="A9" s="4" t="inlineStr">
        <is>
          <t>Faervollar</t>
        </is>
      </c>
      <c r="B9" s="4" t="inlineStr">
        <is>
          <t>Zyxel ZyWALL Zyxel ZyWALL ATP700 tarmoq xavfsizlik devori — sun’iy intellekt asosidagi ilg‘or tahdidlarga qarshi himoya tizimi</t>
        </is>
      </c>
      <c r="C9" s="5" t="inlineStr"/>
      <c r="D9" s="5" t="n">
        <v>60793376</v>
      </c>
      <c r="E9" s="5" t="n">
        <v>54279800</v>
      </c>
      <c r="F9" s="5" t="inlineStr"/>
      <c r="G9" s="5" t="inlineStr">
        <is>
          <t>Zyxel</t>
        </is>
      </c>
      <c r="H9" s="5">
        <f>HYPERLINK("https://itrix.uz/product/230", "🔗 Mahsulot sotib olish")</f>
        <v/>
      </c>
      <c r="I9" t="inlineStr">
        <is>
          <t>5-230-232</t>
        </is>
      </c>
    </row>
    <row r="10" ht="30" customHeight="1">
      <c r="A10" s="4" t="inlineStr">
        <is>
          <t>Faervollar</t>
        </is>
      </c>
      <c r="B10" s="4" t="inlineStr">
        <is>
          <t xml:space="preserve"> Fortinet FortiGate 40F tarmoqlararo ekran</t>
        </is>
      </c>
      <c r="C10" s="5" t="inlineStr"/>
      <c r="D10" s="5" t="n">
        <v>6384016</v>
      </c>
      <c r="E10" s="5" t="n">
        <v>5700014</v>
      </c>
      <c r="F10" s="5" t="n">
        <v>4540250</v>
      </c>
      <c r="G10" s="5" t="inlineStr">
        <is>
          <t>Fortinet</t>
        </is>
      </c>
      <c r="H10" s="5">
        <f>HYPERLINK("https://itrix.uz/product/363", "🔗 Mahsulot sotib olish")</f>
        <v/>
      </c>
      <c r="I10" t="inlineStr">
        <is>
          <t>5-363-368</t>
        </is>
      </c>
    </row>
    <row r="11" ht="30" customHeight="1">
      <c r="A11" s="4" t="inlineStr">
        <is>
          <t>Faervollar</t>
        </is>
      </c>
      <c r="B11" s="4" t="inlineStr">
        <is>
          <t xml:space="preserve"> Fortinet FortiGate 60F tarmoqlararo ekran</t>
        </is>
      </c>
      <c r="C11" s="5" t="inlineStr"/>
      <c r="D11" s="5" t="n">
        <v>7628900</v>
      </c>
      <c r="E11" s="5" t="n">
        <v>6811518</v>
      </c>
      <c r="F11" s="5" t="n">
        <v>6365875</v>
      </c>
      <c r="G11" s="5" t="inlineStr">
        <is>
          <t>Fortinet</t>
        </is>
      </c>
      <c r="H11" s="5">
        <f>HYPERLINK("https://itrix.uz/product/364", "🔗 Mahsulot sotib olish")</f>
        <v/>
      </c>
      <c r="I11" t="inlineStr">
        <is>
          <t>5-364-369</t>
        </is>
      </c>
    </row>
    <row r="12" ht="30" customHeight="1">
      <c r="A12" s="4" t="inlineStr">
        <is>
          <t>Faervollar</t>
        </is>
      </c>
      <c r="B12" s="4" t="inlineStr">
        <is>
          <t>Zyxel ZyWALL VPN2S tarmoq xavfsizlik devori — VPN funksiyasiga ega xavfsizlik qurilmasi</t>
        </is>
      </c>
      <c r="C12" s="5" t="inlineStr"/>
      <c r="D12" s="5" t="n">
        <v>2674112</v>
      </c>
      <c r="E12" s="5" t="n">
        <v>2387600</v>
      </c>
      <c r="F12" s="5" t="inlineStr"/>
      <c r="G12" s="5" t="inlineStr">
        <is>
          <t>Zyxel</t>
        </is>
      </c>
      <c r="H12" s="5">
        <f>HYPERLINK("https://itrix.uz/product/226", "🔗 Mahsulot sotib olish")</f>
        <v/>
      </c>
      <c r="I12" t="inlineStr">
        <is>
          <t>5-226-228</t>
        </is>
      </c>
    </row>
    <row r="13" ht="30" customHeight="1">
      <c r="A13" s="4" t="inlineStr">
        <is>
          <t>Faervollar</t>
        </is>
      </c>
      <c r="B13" s="4" t="inlineStr">
        <is>
          <t>Zyxel ZyWALL USG FLEX 100 tarmoq xavfsizlik devori — ilg‘or UTM funksiyali xavfsizlik yechimi</t>
        </is>
      </c>
      <c r="C13" s="5" t="inlineStr"/>
      <c r="D13" s="5" t="n">
        <v>15916656</v>
      </c>
      <c r="E13" s="5" t="n">
        <v>14211300</v>
      </c>
      <c r="F13" s="5" t="inlineStr"/>
      <c r="G13" s="5" t="inlineStr">
        <is>
          <t>Zyxel</t>
        </is>
      </c>
      <c r="H13" s="5">
        <f>HYPERLINK("https://itrix.uz/product/227", "🔗 Mahsulot sotib olish")</f>
        <v/>
      </c>
      <c r="I13" t="inlineStr">
        <is>
          <t>5-227-229</t>
        </is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tabColor rgb="002E0AFC"/>
    <outlinePr summaryBelow="1" summaryRight="1"/>
    <pageSetUpPr/>
  </sheetPr>
  <dimension ref="A1:H1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20" customWidth="1" min="6" max="6"/>
    <col width="25" customWidth="1" min="7" max="7"/>
    <col width="20" customWidth="1" min="8" max="8"/>
  </cols>
  <sheetData>
    <row r="1" ht="30" customHeight="1">
      <c r="A1" s="6" t="n"/>
      <c r="B1" s="6" t="n"/>
      <c r="C1" s="5" t="n"/>
      <c r="D1" s="5" t="n"/>
      <c r="E1" s="5" t="n"/>
      <c r="F1" s="5" t="n"/>
      <c r="G1" s="5" t="n"/>
      <c r="H1" s="5" t="n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2025-10-03T19:46:27Z</dcterms:created>
  <dcterms:modified xsi:type="dcterms:W3CDTF">2025-10-03T19:46:27Z</dcterms:modified>
</cp:coreProperties>
</file>