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rverlar" sheetId="1" state="visible" r:id="rId1"/>
    <sheet name="Tarkibiy qismlar" sheetId="2" state="visible" r:id="rId2"/>
    <sheet name="Tarmoq qurilmalari" sheetId="3" state="visible" r:id="rId3"/>
    <sheet name="Routerlar" sheetId="4" state="visible" r:id="rId4"/>
    <sheet name="Printerlar va komplekt qismlar" sheetId="5" state="visible" r:id="rId5"/>
    <sheet name="Optik tarmoq yechimlari" sheetId="6" state="visible" r:id="rId6"/>
    <sheet name="Kompyuterlar" sheetId="7" state="visible" r:id="rId7"/>
    <sheet name="WiFi ulanish nuqtalari" sheetId="8" state="visible" r:id="rId8"/>
    <sheet name="Aqlli uy" sheetId="9" state="visible" r:id="rId9"/>
    <sheet name="IP uskunalari" sheetId="10" state="visible" r:id="rId10"/>
    <sheet name="Faervollar" sheetId="11" state="visible" r:id="rId11"/>
    <sheet name="Xizmatlar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&quot;UZS&quot;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164" fontId="1" fillId="0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horizontal="center" vertical="top"/>
    </xf>
    <xf numFmtId="0" fontId="0" fillId="0" borderId="0" applyAlignment="1" pivotButton="0" quotePrefix="0" xfId="0">
      <alignment vertical="center" wrapText="1"/>
    </xf>
    <xf numFmtId="164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A41018"/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cols>
    <col width="30" customWidth="1" min="1" max="1"/>
    <col width="100" customWidth="1" min="2" max="2"/>
    <col width="30" customWidth="1" min="3" max="3"/>
    <col width="20" customWidth="1" min="4" max="4"/>
    <col width="20" customWidth="1" min="5" max="5"/>
    <col width="20" customWidth="1" min="6" max="6"/>
    <col width="25" customWidth="1" min="7" max="7"/>
    <col width="20" customWidth="1" min="8" max="8"/>
  </cols>
  <sheetData>
    <row r="1" ht="30" customHeight="1">
      <c r="A1" s="1" t="inlineStr">
        <is>
          <t>Kategoriya</t>
        </is>
      </c>
      <c r="B1" s="1" t="inlineStr">
        <is>
          <t>Mahsulot nomi</t>
        </is>
      </c>
      <c r="C1" s="2" t="inlineStr">
        <is>
          <t>Kafolat</t>
        </is>
      </c>
      <c r="D1" s="2" t="inlineStr">
        <is>
          <t>QQS bilan narxi</t>
        </is>
      </c>
      <c r="E1" s="2" t="inlineStr">
        <is>
          <t>QQSsiz narxi</t>
        </is>
      </c>
      <c r="F1" s="2" t="inlineStr">
        <is>
          <t>Brend</t>
        </is>
      </c>
      <c r="G1" s="2" t="inlineStr">
        <is>
          <t>Saytda</t>
        </is>
      </c>
      <c r="H1" s="2" t="inlineStr">
        <is>
          <t>SKU</t>
        </is>
      </c>
      <c r="I1" s="3" t="inlineStr">
        <is>
          <t>5 dona dan</t>
        </is>
      </c>
    </row>
    <row r="2">
      <c r="A2" s="4" t="inlineStr">
        <is>
          <t>Fayl server</t>
        </is>
      </c>
      <c r="B2" s="4" t="inlineStr">
        <is>
          <t xml:space="preserve"> Fayl serveri Dell EMC PowerEdge R760xs Rack 2U 16 SFF HDD/SSD + 8 SFF NVMe U.2 | Dell EMC PowerEdge R760xs Rack 2U 16 SFF HDD/SSD + 8 SFF NVMe U.2 (R760xs-xxx-IT4) | Intel Xeon Silver 4316 (2.3GHz/20-core/150W) | Samsung 64GB DDR4-3200 operativ xotira | DELL PERC H755N 8Gb RAID NVMe apparat RAID nazoratchisi | 1.6TB PCI-e NVMe Mix Use Express Flash xotira qurilmasi | DELL 1.92TB / SATA / RI / SSD | DELL 800W G15 Hot-Plug quvvat bloki</t>
        </is>
      </c>
      <c r="C2" s="5" t="inlineStr">
        <is>
          <t>Kafolat 36 oy</t>
        </is>
      </c>
      <c r="D2" s="5" t="n">
        <v>268573536</v>
      </c>
      <c r="E2" s="5" t="n">
        <v>239797800</v>
      </c>
      <c r="F2" s="5" t="inlineStr">
        <is>
          <t>Dell</t>
        </is>
      </c>
      <c r="G2" s="5">
        <f>HYPERLINK("https://itrix.uz/configuration/396", "🔗 Mahsulot sotib olish")</f>
        <v/>
      </c>
      <c r="H2" s="5" t="inlineStr">
        <is>
          <t>1-396-0</t>
        </is>
      </c>
      <c r="I2" t="inlineStr"/>
    </row>
    <row r="3">
      <c r="A3" s="4" t="inlineStr">
        <is>
          <t>Virtualizaciya server</t>
        </is>
      </c>
      <c r="B3" s="4" t="inlineStr">
        <is>
          <t>Virtualizatsiya uchun server HPE ProLiant DL360 Gen10 | HPE ProLiant DL360 Gen10 Rack 1U 8 SFF (P40400-B21) | Intel Xeon-Silver 4210R (2.4GHz/10-core/100W) | Samsung 64GB DDR4-2666 LRDIMM operativ xotira | HPE P408e-p SR (Tashqi) 4GB kesh 12G SAS PCIe (96W batareya bilan) tashqi apparat RAID nazoratchisi | HPE 240GB / SATA / RI / SSD | 1.6TB PCI-e NVMe Mix Use Express Flash xotira qurilmasi | HPE 800W Flex Slot Platinum Hot Plug quvvat bloki</t>
        </is>
      </c>
      <c r="C3" s="5" t="inlineStr">
        <is>
          <t>Kafolat 36 oy</t>
        </is>
      </c>
      <c r="D3" s="5" t="n">
        <v>106220576</v>
      </c>
      <c r="E3" s="5" t="n">
        <v>94839800</v>
      </c>
      <c r="F3" s="5" t="inlineStr">
        <is>
          <t>HPE</t>
        </is>
      </c>
      <c r="G3" s="5">
        <f>HYPERLINK("https://itrix.uz/configuration/397", "🔗 Mahsulot sotib olish")</f>
        <v/>
      </c>
      <c r="H3" s="5" t="inlineStr">
        <is>
          <t>1-397-0</t>
        </is>
      </c>
      <c r="I3" t="inlineStr"/>
    </row>
    <row r="4">
      <c r="A4" s="4" t="inlineStr">
        <is>
          <t>Virtualizaciya server</t>
        </is>
      </c>
      <c r="B4" s="4" t="inlineStr">
        <is>
          <t>Virtualizatsiya uchun server HPE ProLiant DL380 Gen10 | HPE ProLiant DL380 Gen10 Rack 2U 8 SFF (P02466-B21) | Intel Xeon Gold 5317 (3.0GHz/12-core/150W) | HPE 64GB DDR4-3200 operativ xotira | HPE P408i-a SR (Ichki) 2GB kesh 12G SAS PCIe (96W batareya bilan) apparat RAID nazoratchisi | HPE 960GB SATA RI SSD xotira qurilmasi | HPE 800W Flex Slot Platinum Hot Plug quvvat bloki</t>
        </is>
      </c>
      <c r="C4" s="5" t="inlineStr">
        <is>
          <t>Kafolat 36 oy</t>
        </is>
      </c>
      <c r="D4" s="5" t="n">
        <v>114649920</v>
      </c>
      <c r="E4" s="5" t="n">
        <v>102366000</v>
      </c>
      <c r="F4" s="5" t="inlineStr">
        <is>
          <t>HPE</t>
        </is>
      </c>
      <c r="G4" s="5">
        <f>HYPERLINK("https://itrix.uz/configuration/398", "🔗 Mahsulot sotib olish")</f>
        <v/>
      </c>
      <c r="H4" s="5" t="inlineStr">
        <is>
          <t>1-398-0</t>
        </is>
      </c>
      <c r="I4" t="inlineStr"/>
    </row>
    <row r="5">
      <c r="A5" s="4" t="inlineStr">
        <is>
          <t>Virtualizaciya server</t>
        </is>
      </c>
      <c r="B5" s="4" t="inlineStr">
        <is>
          <t>Virtualizatsiya uchun server Dell EMC PowerEdge R550 Rack 2U 8 LFF | Dell EMC PowerEdge R550 Rack 2U 8 LFF | Intel Xeon-Silver 4210R (2.4GHz/10-core/100W) | DELL 800W G15 Hot-Plug quvvat bloki | DELL PERC H745 4Gb RAID 12Gb/s apparat RAID nazoratchisi | Samsung 32GB DDR4-3200 UDIMM operativ xotira | DELL 1.92TB / SATA / RI / SSD</t>
        </is>
      </c>
      <c r="C5" s="5" t="inlineStr">
        <is>
          <t>Kafolat 36 oy</t>
        </is>
      </c>
      <c r="D5" s="5" t="n">
        <v>165469920</v>
      </c>
      <c r="E5" s="5" t="n">
        <v>147741000</v>
      </c>
      <c r="F5" s="5" t="inlineStr">
        <is>
          <t>Dell</t>
        </is>
      </c>
      <c r="G5" s="5">
        <f>HYPERLINK("https://itrix.uz/configuration/399", "🔗 Mahsulot sotib olish")</f>
        <v/>
      </c>
      <c r="H5" s="5" t="inlineStr">
        <is>
          <t>1-399-0</t>
        </is>
      </c>
      <c r="I5" t="inlineStr"/>
    </row>
    <row r="6">
      <c r="A6" s="4" t="inlineStr">
        <is>
          <t>Ma'lumotlar bazasi server</t>
        </is>
      </c>
      <c r="B6" s="4" t="inlineStr">
        <is>
          <t>Ma'lumotlar bazasi uchun server Dell EMC PowerEdge R750 Rack 2U 16 SFF | Dell EMC PowerEdge R750 Rack 2U 16 SFF (210-AYCG-125-000) | Intel Xeon Gold 6342 (2.8GHz/24-core/230W) | Samsung 64GB DDR4-3200 operativ xotira | 3.2TB PCI-e NVMe Express Flash xotira qurilmasi | Intel 2TB DC P4510 Series / NVMe / RI / SAS / SSD | DELL PERC H755N 8Gb RAID NVMe apparat RAID nazoratchisi | DELL 800W G15 Hot-Plug quvvat bloki</t>
        </is>
      </c>
      <c r="C6" s="5" t="inlineStr">
        <is>
          <t>Kafolat 36 oy</t>
        </is>
      </c>
      <c r="D6" s="5" t="n">
        <v>211750000</v>
      </c>
      <c r="E6" s="5" t="n">
        <v>189062500</v>
      </c>
      <c r="F6" s="5" t="inlineStr">
        <is>
          <t>Dell</t>
        </is>
      </c>
      <c r="G6" s="5">
        <f>HYPERLINK("https://itrix.uz/configuration/400", "🔗 Mahsulot sotib olish")</f>
        <v/>
      </c>
      <c r="H6" s="5" t="inlineStr">
        <is>
          <t>1-400-0</t>
        </is>
      </c>
      <c r="I6" t="inlineStr"/>
    </row>
    <row r="7">
      <c r="A7" s="4" t="inlineStr">
        <is>
          <t>Ma'lumotlar bazasi server</t>
        </is>
      </c>
      <c r="B7" s="4" t="inlineStr">
        <is>
          <t>Ma'lumotlar bazasi uchun server HPE ProLiant DL380 Gen10 | HPE ProLiant DL380 Gen10 Rack 2U 8 SFF (P02466-B21) | Intel Xeon Gold 6338 (2GHz/32-core/205W) | HPE 64GB DDR4-3200 operativ xotira | Intel 480GB S4510 / RI / SATA / SSD | 1.6TB PCI-e NVMe Mix Use Express Flash xotira qurilmasi | HPE P816i-a SR (Ichki) 4GB kesh 12G SAS PCIe (96W batareya bilan) ichki apparat RAID nazoratchisi | HPE G10 Plus 1600W Flex Slot Platinum Hot Plug Low Halogen Power Supply</t>
        </is>
      </c>
      <c r="C7" s="5" t="inlineStr">
        <is>
          <t>Kafolat 36 oy</t>
        </is>
      </c>
      <c r="D7" s="5" t="n">
        <v>190703744</v>
      </c>
      <c r="E7" s="5" t="n">
        <v>170271200</v>
      </c>
      <c r="F7" s="5" t="inlineStr">
        <is>
          <t>HPE</t>
        </is>
      </c>
      <c r="G7" s="5">
        <f>HYPERLINK("https://itrix.uz/configuration/401", "🔗 Mahsulot sotib olish")</f>
        <v/>
      </c>
      <c r="H7" s="5" t="inlineStr">
        <is>
          <t>1-401-0</t>
        </is>
      </c>
      <c r="I7" t="inlineStr"/>
    </row>
    <row r="8">
      <c r="A8" s="4" t="inlineStr">
        <is>
          <t>1C server</t>
        </is>
      </c>
      <c r="B8" s="4" t="inlineStr">
        <is>
          <t>1C uchun server HPE DL360 Gen10 Plus 8SFF Rack 1U | HPE ProLiant DL360 Gen10 Plus Rack 1U 8 SFF (P55274-421) | Intel Xeon Silver 4316 (2.3GHz/20-core/150W) | HPE 32GB DDR4-2666 operativ xotira | HPE P408i-a SR (Ichki) 2GB kesh 12G SAS PCIe (96W batareya bilan) apparat RAID nazoratchisi | HPE 800W Flex Slot Platinum Hot Plug quvvat bloki</t>
        </is>
      </c>
      <c r="C8" s="5" t="inlineStr">
        <is>
          <t>Kafolat 36 oy</t>
        </is>
      </c>
      <c r="D8" s="5" t="n">
        <v>79604448</v>
      </c>
      <c r="E8" s="5" t="n">
        <v>71075400</v>
      </c>
      <c r="F8" s="5" t="inlineStr">
        <is>
          <t>HPE</t>
        </is>
      </c>
      <c r="G8" s="5">
        <f>HYPERLINK("https://itrix.uz/configuration/385", "🔗 Mahsulot sotib olish")</f>
        <v/>
      </c>
      <c r="H8" s="5" t="inlineStr">
        <is>
          <t>1-385-0</t>
        </is>
      </c>
      <c r="I8" t="inlineStr"/>
    </row>
    <row r="9">
      <c r="A9" s="4" t="inlineStr">
        <is>
          <t>Ofis server</t>
        </is>
      </c>
      <c r="B9" s="4" t="inlineStr">
        <is>
          <t>Server ofis uchun HPE ProLiant DL380 Gen10 Rack 2U 8 SFF | HPE ProLiant DL380 Gen10 Rack 2U 8 SFF (P02466-B21) | Intel Xeon-Gold 6250 (3.9GHz/8-core/185W) | HPE 32GB DDR4-2933 operativ xotira | HPE 1.92TB / SATA / RI / SSD | HPE 800W Flex Slot Platinum Hot Plug quvvat bloki | HPE P408e-p SR (Tashqi) 4GB kesh 12G SAS PCIe (96W batareya bilan) tashqi apparat RAID nazoratchisi</t>
        </is>
      </c>
      <c r="C9" s="5" t="inlineStr">
        <is>
          <t>Kafolat 36 oy</t>
        </is>
      </c>
      <c r="D9" s="5" t="n">
        <v>160171088</v>
      </c>
      <c r="E9" s="5" t="n">
        <v>143009900</v>
      </c>
      <c r="F9" s="5" t="inlineStr">
        <is>
          <t>HPE</t>
        </is>
      </c>
      <c r="G9" s="5">
        <f>HYPERLINK("https://itrix.uz/configuration/389", "🔗 Mahsulot sotib olish")</f>
        <v/>
      </c>
      <c r="H9" s="5" t="inlineStr">
        <is>
          <t>1-389-0</t>
        </is>
      </c>
      <c r="I9" t="inlineStr"/>
    </row>
    <row r="10">
      <c r="A10" s="4" t="inlineStr">
        <is>
          <t>Video Server</t>
        </is>
      </c>
      <c r="B10" s="4" t="inlineStr">
        <is>
          <t>Kameralar uchun server HPE ProLiant DL380 Gen10 | HPE ProLiant DL380 Gen10 Rack 2U 8 SFF (P02466-B21) | Intel Xeon-Silver 4210R (2.4GHz/10-core/100W) | HPE 64GB DDR4-3200 operativ xotira | Intel 480GB S4510 / RI / SATA / SSD | HPE 16TB SAS 7200 rpm (3.5", LFF) qattiq diski | HPE ML110/ML350 Gen10 4LFF Drive Backplane Cage Kit diskli qutisi | HPE P816i-a SR (Ichki) 4GB kesh 12G SAS PCIe (96W batareya bilan) ichki apparat RAID nazoratchisi | HPE G10 Plus 1600W Flex Slot Platinum Hot Plug Low Halogen Power Supply</t>
        </is>
      </c>
      <c r="C10" s="5" t="inlineStr">
        <is>
          <t>Kafolat 36 oy</t>
        </is>
      </c>
      <c r="D10" s="5" t="n">
        <v>101287648</v>
      </c>
      <c r="E10" s="5" t="n">
        <v>90435400</v>
      </c>
      <c r="F10" s="5" t="inlineStr">
        <is>
          <t>HPE</t>
        </is>
      </c>
      <c r="G10" s="5">
        <f>HYPERLINK("https://itrix.uz/configuration/402", "🔗 Mahsulot sotib olish")</f>
        <v/>
      </c>
      <c r="H10" s="5" t="inlineStr">
        <is>
          <t>1-402-0</t>
        </is>
      </c>
      <c r="I10" t="inlineStr"/>
    </row>
    <row r="11">
      <c r="A11" s="4" t="inlineStr">
        <is>
          <t>Ofis server</t>
        </is>
      </c>
      <c r="B11" s="4" t="inlineStr">
        <is>
          <t>Server ofis uchun HPE ProLiant DL380 Gen10 Plus Rack 2U 8 SFF | HPE ProLiant DL380 Gen10 Plus Rack 2U 8 SFF (P55281-421) | Intel Xeon Gold 6338 (2GHz/32-core/205W) | HPE 64GB DDR4-3200 operativ xotira | HPE P408e-p SR (Tashqi) 4GB kesh 12G SAS PCIe (96W batareya bilan) tashqi apparat RAID nazoratchisi | HPE 3.84TB NVMe RI SAS SSD | HPE 800W Flex Slot Platinum Hot Plug quvvat bloki</t>
        </is>
      </c>
      <c r="C11" s="5" t="inlineStr">
        <is>
          <t>Kafolat 36 oy</t>
        </is>
      </c>
      <c r="D11" s="5" t="n">
        <v>310720256</v>
      </c>
      <c r="E11" s="5" t="n">
        <v>277428800</v>
      </c>
      <c r="F11" s="5" t="inlineStr">
        <is>
          <t>HPE</t>
        </is>
      </c>
      <c r="G11" s="5">
        <f>HYPERLINK("https://itrix.uz/configuration/390", "🔗 Mahsulot sotib olish")</f>
        <v/>
      </c>
      <c r="H11" s="5" t="inlineStr">
        <is>
          <t>1-390-0</t>
        </is>
      </c>
      <c r="I11" t="inlineStr"/>
    </row>
    <row r="12">
      <c r="A12" s="4" t="inlineStr">
        <is>
          <t>Ofis server</t>
        </is>
      </c>
      <c r="B12" s="4" t="inlineStr">
        <is>
          <t>Server ofis uchun HPE ProLiant DL380 Gen10 Plus Rack 2U 8 SFF | Intel Xeon Gold 6338 (2GHz/32-core/205W) | HPE 64GB DDR4-3200 operativ xotira | HPE P408e-p SR (Tashqi) 4GB kesh 12G SAS PCIe (96W batareya bilan) tashqi apparat RAID nazoratchisi | DELL 3.84TB / SAS / RI / SSD | HPE 800W Flex Slot Platinum Hot Plug quvvat bloki | HPE ProLiant DL380 Gen10 Plus Rack 2U 8 SFF (P55281-421)</t>
        </is>
      </c>
      <c r="C12" s="5" t="inlineStr">
        <is>
          <t>Kafolat 36 oy</t>
        </is>
      </c>
      <c r="D12" s="5" t="n">
        <v>280634816</v>
      </c>
      <c r="E12" s="5" t="n">
        <v>250566800</v>
      </c>
      <c r="F12" s="5" t="inlineStr">
        <is>
          <t>HPE</t>
        </is>
      </c>
      <c r="G12" s="5">
        <f>HYPERLINK("https://itrix.uz/configuration/391", "🔗 Mahsulot sotib olish")</f>
        <v/>
      </c>
      <c r="H12" s="5" t="inlineStr">
        <is>
          <t>1-391-0</t>
        </is>
      </c>
      <c r="I12" t="inlineStr"/>
    </row>
    <row r="13">
      <c r="A13" s="4" t="inlineStr">
        <is>
          <t>Ofis server</t>
        </is>
      </c>
      <c r="B13" s="4" t="inlineStr">
        <is>
          <t>Ofis uchun server HPE ProLiant DL380 Gen10 Plus Rack 2U 8 SFF | Intel Xeon Silver 4310 (2.1GHz/12-Core/120W) | Samsung 64GB DDR4-3200 operativ xotira | HPE P408e-p SR (Tashqi) 4GB kesh 12G SAS PCIe (96W batareya bilan) tashqi apparat RAID nazoratchisi | HPE 1.92TB / SATA / RI / SSD | HPE 2.4TB SAS 10000 rpm (2.5", SFF) qattiq diski | HPE 800W Flex Slot Platinum Hot Plug quvvat bloki | HPE ProLiant DL380 Gen10 Plus Rack 2U 8 SFF (P55281-421)</t>
        </is>
      </c>
      <c r="C13" s="5" t="inlineStr">
        <is>
          <t>Kafolat 36 oy</t>
        </is>
      </c>
      <c r="D13" s="5" t="n">
        <v>110150656</v>
      </c>
      <c r="E13" s="5" t="n">
        <v>98348800</v>
      </c>
      <c r="F13" s="5" t="inlineStr">
        <is>
          <t>HPE</t>
        </is>
      </c>
      <c r="G13" s="5">
        <f>HYPERLINK("https://itrix.uz/configuration/392", "🔗 Mahsulot sotib olish")</f>
        <v/>
      </c>
      <c r="H13" s="5" t="inlineStr">
        <is>
          <t>1-392-0</t>
        </is>
      </c>
      <c r="I13" t="inlineStr"/>
    </row>
    <row r="14">
      <c r="A14" s="4" t="inlineStr">
        <is>
          <t>Fayl server</t>
        </is>
      </c>
      <c r="B14" s="4" t="inlineStr">
        <is>
          <t xml:space="preserve"> HPE DL360 Gen9, fayl serveri, Rack 1U, 8 SFF, Intel Xeon, ma’lumot saqlash, ITRIX | HPE ProLiant DL360 Gen9 Rack 1U 8 SFF (848736-B21) | Intel Xeon Silver 4310 (2.1GHz/12-Core/120W) | Samsung 64GB DDR4-2666 LRDIMM operativ xotira | HPE P408e-p SR (Tashqi) 4GB kesh 12G SAS PCIe (96W batareya bilan) tashqi apparat RAID nazoratchisi | HPE 960GB SATA RI SSD xotira qurilmasi | HPE 800W Flex Slot Platinum Hot Plug quvvat bloki</t>
        </is>
      </c>
      <c r="C14" s="5" t="inlineStr">
        <is>
          <t>Kafolat 36 oy</t>
        </is>
      </c>
      <c r="D14" s="5" t="n">
        <v>72720032</v>
      </c>
      <c r="E14" s="5" t="n">
        <v>64928600</v>
      </c>
      <c r="F14" s="5" t="inlineStr">
        <is>
          <t>HPE</t>
        </is>
      </c>
      <c r="G14" s="5">
        <f>HYPERLINK("https://itrix.uz/configuration/394", "🔗 Mahsulot sotib olish")</f>
        <v/>
      </c>
      <c r="H14" s="5" t="inlineStr">
        <is>
          <t>1-394-0</t>
        </is>
      </c>
      <c r="I14" t="inlineStr"/>
    </row>
    <row r="15">
      <c r="A15" s="4" t="inlineStr">
        <is>
          <t>1C server</t>
        </is>
      </c>
      <c r="B15" s="4" t="inlineStr">
        <is>
          <t xml:space="preserve"> 1C uchun server HPE DL380 Gen10 Plus 8SFF | Intel Xeon Silver 4314 (2.4GHz/16-core/135W) | HPE 32GB DDR4-3200 operativ xotira | HPE P408i-a SR (Ichki) 2GB kesh 12G SAS PCIe (96W batareya bilan) apparat RAID nazoratchisi | HPE ProLiant DL380 Gen10 Plus Rack 2U 8 SFF (P55281-421) | HPE 800W Flex Slot Platinum Hot Plug quvvat bloki</t>
        </is>
      </c>
      <c r="C15" s="5" t="inlineStr">
        <is>
          <t>Kafolat 36 oy</t>
        </is>
      </c>
      <c r="D15" s="5" t="n">
        <v>63884128</v>
      </c>
      <c r="E15" s="5" t="n">
        <v>57039400</v>
      </c>
      <c r="F15" s="5" t="inlineStr">
        <is>
          <t>HPE</t>
        </is>
      </c>
      <c r="G15" s="5">
        <f>HYPERLINK("https://itrix.uz/configuration/370", "🔗 Mahsulot sotib olish")</f>
        <v/>
      </c>
      <c r="H15" s="5" t="inlineStr">
        <is>
          <t>1-370-0</t>
        </is>
      </c>
      <c r="I15" t="inlineStr"/>
    </row>
    <row r="16">
      <c r="A16" s="4" t="inlineStr">
        <is>
          <t>1C server</t>
        </is>
      </c>
      <c r="B16" s="4" t="inlineStr">
        <is>
          <t>Server 1C uchun DELL R550 8SFF Rack 2U | Intel Xeon Gold 6326 (2.9GHz/16-core/185W) | Samsung / SK hynix 16GB DDR4-2933 operativ xotira | DELL 800W G15 Hot-Plug quvvat bloki | Dell EMC PowerEdge R550 Rack 2U 8 LFF | DELL PERC H745 4Gb RAID 12Gb/s apparat RAID nazoratchisi</t>
        </is>
      </c>
      <c r="C16" s="5" t="inlineStr">
        <is>
          <t>Kafolat 36 oy</t>
        </is>
      </c>
      <c r="D16" s="5" t="n">
        <v>63098112</v>
      </c>
      <c r="E16" s="5" t="n">
        <v>56337600</v>
      </c>
      <c r="F16" s="5" t="inlineStr">
        <is>
          <t>Dell</t>
        </is>
      </c>
      <c r="G16" s="5">
        <f>HYPERLINK("https://itrix.uz/configuration/386", "🔗 Mahsulot sotib olish")</f>
        <v/>
      </c>
      <c r="H16" s="5" t="inlineStr">
        <is>
          <t>1-386-0</t>
        </is>
      </c>
      <c r="I16" t="inlineStr"/>
    </row>
    <row r="17" ht="30" customHeight="1">
      <c r="A17" s="4" t="inlineStr">
        <is>
          <t>Video Server</t>
        </is>
      </c>
      <c r="B17" s="4" t="inlineStr">
        <is>
          <t>Ubiquiti UniFi Cloud Key Gen2 Plus</t>
        </is>
      </c>
      <c r="C17" s="5" t="inlineStr"/>
      <c r="D17" s="5" t="n">
        <v>4182960</v>
      </c>
      <c r="E17" s="5" t="n">
        <v>3734786</v>
      </c>
      <c r="F17" s="5" t="inlineStr"/>
      <c r="G17" s="5">
        <f>HYPERLINK("https://itrix.uz/product/599", "🔗 Mahsulot sotib olish")</f>
        <v/>
      </c>
      <c r="H17" s="5" t="inlineStr">
        <is>
          <t>1-599-554</t>
        </is>
      </c>
      <c r="I17" t="n">
        <v>3365615</v>
      </c>
    </row>
    <row r="18">
      <c r="A18" s="4" t="inlineStr">
        <is>
          <t>1C server</t>
        </is>
      </c>
      <c r="B18" s="4" t="inlineStr">
        <is>
          <t>Server 1C uchun Dell EMC PowerEdge R550 Rack 2U 8 LFF | Dell EMC PowerEdge R550 Rack 2U 8 LFF | Intel Xeon-Silver 4214 (2.2GHz/12-core/85W) | Samsung 32GB DDR4-2133 operativ xotira | DELL 960GB SAS RI SSD xotira qurilmasi | DELL 800W G15 Hot-Plug quvvat bloki</t>
        </is>
      </c>
      <c r="C18" s="5" t="inlineStr">
        <is>
          <t>Kafolat 36 oy</t>
        </is>
      </c>
      <c r="D18" s="5" t="n">
        <v>47648832</v>
      </c>
      <c r="E18" s="5" t="n">
        <v>42543600</v>
      </c>
      <c r="F18" s="5" t="inlineStr">
        <is>
          <t>Dell</t>
        </is>
      </c>
      <c r="G18" s="5">
        <f>HYPERLINK("https://itrix.uz/configuration/388", "🔗 Mahsulot sotib olish")</f>
        <v/>
      </c>
      <c r="H18" s="5" t="inlineStr">
        <is>
          <t>1-388-0</t>
        </is>
      </c>
      <c r="I18" t="inlineStr"/>
    </row>
    <row r="19">
      <c r="A19" s="4" t="inlineStr">
        <is>
          <t>Ofis server</t>
        </is>
      </c>
      <c r="B19" s="4" t="inlineStr">
        <is>
          <t>Server ofis uchun HPE ProLiant DL360 Gen9 Rack 1U 8 SFF | HPE ProLiant DL360 Gen9 Rack 1U 8 SFF (848736-B21) | Intel Xeon Silver 4310 (2.1GHz/12-Core/120W) | HPE 32GB DDR4-3200 operativ xotira | HPE 240GB / SATA / RI / SSD | HPE P408e-p SR (Tashqi) 4GB kesh 12G SAS PCIe (96W batareya bilan) tashqi apparat RAID nazoratchisi | HPE 800W Flex Slot Platinum Hot Plug quvvat bloki</t>
        </is>
      </c>
      <c r="C19" s="5" t="inlineStr">
        <is>
          <t>Kafolat 36 oy</t>
        </is>
      </c>
      <c r="D19" s="5" t="n">
        <v>40710208</v>
      </c>
      <c r="E19" s="5" t="n">
        <v>36348400</v>
      </c>
      <c r="F19" s="5" t="inlineStr">
        <is>
          <t>HPE</t>
        </is>
      </c>
      <c r="G19" s="5">
        <f>HYPERLINK("https://itrix.uz/configuration/393", "🔗 Mahsulot sotib olish")</f>
        <v/>
      </c>
      <c r="H19" s="5" t="inlineStr">
        <is>
          <t>1-393-0</t>
        </is>
      </c>
      <c r="I19" t="inlineStr"/>
    </row>
    <row r="20">
      <c r="A20" s="4" t="inlineStr">
        <is>
          <t>Fayl server</t>
        </is>
      </c>
      <c r="B20" s="4" t="inlineStr">
        <is>
          <t xml:space="preserve"> Fayl serveri HPE ProLiant DL380 Gen10 Rack 2U 8 SFF | HPE ProLiant DL380 Gen10 Rack 2U 8 SFF (P02466-B21) | Intel Xeon-Silver 4214 (2.2GHz/12-core/85W) | HPE 64GB DDR4-3200 operativ xotira | HPE P408e-p SR (Tashqi) 4GB kesh 12G SAS PCIe (96W batareya bilan) tashqi apparat RAID nazoratchisi | HPE 960GB SATA RI SSD xotira qurilmasi | HPE 800W Flex Slot Platinum Hot Plug quvvat bloki</t>
        </is>
      </c>
      <c r="C20" s="5" t="inlineStr">
        <is>
          <t>Kafolat 36 oy</t>
        </is>
      </c>
      <c r="D20" s="5" t="n">
        <v>97682816</v>
      </c>
      <c r="E20" s="5" t="n">
        <v>87216800</v>
      </c>
      <c r="F20" s="5" t="inlineStr">
        <is>
          <t>HPE</t>
        </is>
      </c>
      <c r="G20" s="5">
        <f>HYPERLINK("https://itrix.uz/configuration/395", "🔗 Mahsulot sotib olish")</f>
        <v/>
      </c>
      <c r="H20" s="5" t="inlineStr">
        <is>
          <t>1-395-0</t>
        </is>
      </c>
      <c r="I20" t="inlineStr"/>
    </row>
    <row r="21">
      <c r="A21" s="4" t="inlineStr">
        <is>
          <t>Video Server</t>
        </is>
      </c>
      <c r="B21" s="4" t="inlineStr">
        <is>
          <t>Kameralar uchun server Dell EMC PowerEdge R750XS Rack 2U 8 LFF | Dell EMC PowerEdge R750XS Rack 2U 8 LFF (210-AZYQ-056-000) | Intel Xeon Silver 4310 (2.1GHz/12-Core/120W) | Samsung 64GB DDR4-3200 operativ xotira | Intel 480GB S4510 / RI / SATA / SSD | DELL 12TB SAS 7200 rpm (3.5", LFF) qattiq diski | DELL PERC H755 8Gb RAID apparat RAID nazoratchisi | DELL 800W G15 Hot-Plug quvvat bloki</t>
        </is>
      </c>
      <c r="C21" s="5" t="inlineStr">
        <is>
          <t>Kafolat 36 oy</t>
        </is>
      </c>
      <c r="D21" s="5" t="n">
        <v>92939616</v>
      </c>
      <c r="E21" s="5" t="n">
        <v>82981800</v>
      </c>
      <c r="F21" s="5" t="inlineStr">
        <is>
          <t>Dell</t>
        </is>
      </c>
      <c r="G21" s="5">
        <f>HYPERLINK("https://itrix.uz/configuration/403", "🔗 Mahsulot sotib olish")</f>
        <v/>
      </c>
      <c r="H21" s="5" t="inlineStr">
        <is>
          <t>1-403-0</t>
        </is>
      </c>
      <c r="I21" t="inlineStr"/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tabColor rgb="00E4183C"/>
    <outlinePr summaryBelow="1" summaryRight="1"/>
    <pageSetUpPr/>
  </sheetPr>
  <dimension ref="A1:I89"/>
  <sheetViews>
    <sheetView workbookViewId="0">
      <selection activeCell="A1" sqref="A1"/>
    </sheetView>
  </sheetViews>
  <sheetFormatPr baseColWidth="8" defaultRowHeight="15"/>
  <cols>
    <col width="30" customWidth="1" min="1" max="1"/>
    <col width="100" customWidth="1" min="2" max="2"/>
    <col width="30" customWidth="1" min="3" max="3"/>
    <col width="20" customWidth="1" min="4" max="4"/>
    <col width="20" customWidth="1" min="5" max="5"/>
    <col width="20" customWidth="1" min="6" max="6"/>
    <col width="25" customWidth="1" min="7" max="7"/>
    <col width="20" customWidth="1" min="8" max="8"/>
  </cols>
  <sheetData>
    <row r="1" ht="30" customHeight="1">
      <c r="A1" s="1" t="inlineStr">
        <is>
          <t>Kategoriya</t>
        </is>
      </c>
      <c r="B1" s="1" t="inlineStr">
        <is>
          <t>Mahsulot nomi</t>
        </is>
      </c>
      <c r="C1" s="2" t="inlineStr">
        <is>
          <t>Kafolat</t>
        </is>
      </c>
      <c r="D1" s="2" t="inlineStr">
        <is>
          <t>QQS bilan narxi</t>
        </is>
      </c>
      <c r="E1" s="2" t="inlineStr">
        <is>
          <t>QQSsiz narxi</t>
        </is>
      </c>
      <c r="F1" s="2" t="inlineStr">
        <is>
          <t>5 dona dan</t>
        </is>
      </c>
      <c r="G1" s="2" t="inlineStr">
        <is>
          <t>Brend</t>
        </is>
      </c>
      <c r="H1" s="2" t="inlineStr">
        <is>
          <t>Saytda</t>
        </is>
      </c>
      <c r="I1" s="3" t="inlineStr">
        <is>
          <t>SKU</t>
        </is>
      </c>
    </row>
    <row r="2" ht="30" customHeight="1">
      <c r="A2" s="4" t="inlineStr">
        <is>
          <t>IP-Telefonlar</t>
        </is>
      </c>
      <c r="B2" s="4" t="inlineStr">
        <is>
          <t>IP telefon Ubiquiti UniFi G3 Touch Pro</t>
        </is>
      </c>
      <c r="C2" s="5" t="inlineStr"/>
      <c r="D2" s="5" t="n">
        <v>4082947</v>
      </c>
      <c r="E2" s="5" t="n">
        <v>3645488</v>
      </c>
      <c r="F2" s="5" t="n">
        <v>3365010</v>
      </c>
      <c r="G2" s="5" t="inlineStr">
        <is>
          <t>UniFi UBIQUITI</t>
        </is>
      </c>
      <c r="H2" s="5">
        <f>HYPERLINK("https://itrix.uz/product/1440", "🔗 Mahsulot sotib olish")</f>
        <v/>
      </c>
      <c r="I2" t="inlineStr">
        <is>
          <t>6-1440-1140</t>
        </is>
      </c>
    </row>
    <row r="3" ht="30" customHeight="1">
      <c r="A3" s="4" t="inlineStr">
        <is>
          <t>IP-Telefonlar</t>
        </is>
      </c>
      <c r="B3" s="4" t="inlineStr">
        <is>
          <t>IP telefon Grandstream GXP2170</t>
        </is>
      </c>
      <c r="C3" s="5" t="inlineStr"/>
      <c r="D3" s="5" t="n">
        <v>2715821</v>
      </c>
      <c r="E3" s="5" t="n">
        <v>2424840</v>
      </c>
      <c r="F3" s="5" t="inlineStr"/>
      <c r="G3" s="5" t="inlineStr">
        <is>
          <t>Grandstream</t>
        </is>
      </c>
      <c r="H3" s="5">
        <f>HYPERLINK("https://itrix.uz/product/17", "🔗 Mahsulot sotib olish")</f>
        <v/>
      </c>
      <c r="I3" t="inlineStr">
        <is>
          <t>6-17-16</t>
        </is>
      </c>
    </row>
    <row r="4" ht="30" customHeight="1">
      <c r="A4" s="4" t="inlineStr">
        <is>
          <t>IP-ATS</t>
        </is>
      </c>
      <c r="B4" s="4" t="inlineStr">
        <is>
          <t>IP-ATC Grandstream UCM6301</t>
        </is>
      </c>
      <c r="C4" s="5" t="inlineStr"/>
      <c r="D4" s="5" t="n">
        <v>6358598</v>
      </c>
      <c r="E4" s="5" t="n">
        <v>5677320</v>
      </c>
      <c r="F4" s="5" t="inlineStr"/>
      <c r="G4" s="5" t="inlineStr">
        <is>
          <t>Grandstream</t>
        </is>
      </c>
      <c r="H4" s="5">
        <f>HYPERLINK("https://itrix.uz/product/25", "🔗 Mahsulot sotib olish")</f>
        <v/>
      </c>
      <c r="I4" t="inlineStr">
        <is>
          <t>6-25-24</t>
        </is>
      </c>
    </row>
    <row r="5" ht="30" customHeight="1">
      <c r="A5" s="4" t="inlineStr">
        <is>
          <t>IP-Telefonlar</t>
        </is>
      </c>
      <c r="B5" s="4" t="inlineStr">
        <is>
          <t xml:space="preserve">IP telefon Grandstream GRP2602G – professional VoIP telefon </t>
        </is>
      </c>
      <c r="C5" s="5" t="inlineStr"/>
      <c r="D5" s="5" t="n">
        <v>910694</v>
      </c>
      <c r="E5" s="5" t="n">
        <v>813120</v>
      </c>
      <c r="F5" s="5" t="inlineStr"/>
      <c r="G5" s="5" t="inlineStr">
        <is>
          <t>Grandstream</t>
        </is>
      </c>
      <c r="H5" s="5">
        <f>HYPERLINK("https://itrix.uz/product/927", "🔗 Mahsulot sotib olish")</f>
        <v/>
      </c>
      <c r="I5" t="inlineStr">
        <is>
          <t>6-927-817</t>
        </is>
      </c>
    </row>
    <row r="6" ht="30" customHeight="1">
      <c r="A6" s="4" t="inlineStr">
        <is>
          <t>IP-Telefonlar</t>
        </is>
      </c>
      <c r="B6" s="4" t="inlineStr">
        <is>
          <t>Wi-Fi IP telefoni Grandstream WP820</t>
        </is>
      </c>
      <c r="C6" s="5" t="inlineStr"/>
      <c r="D6" s="5" t="n">
        <v>2650771</v>
      </c>
      <c r="E6" s="5" t="n">
        <v>2366760</v>
      </c>
      <c r="F6" s="5" t="inlineStr"/>
      <c r="G6" s="5" t="inlineStr">
        <is>
          <t>Grandstream</t>
        </is>
      </c>
      <c r="H6" s="5">
        <f>HYPERLINK("https://itrix.uz/product/24", "🔗 Mahsulot sotib olish")</f>
        <v/>
      </c>
      <c r="I6" t="inlineStr">
        <is>
          <t>6-24-23</t>
        </is>
      </c>
    </row>
    <row r="7" ht="30" customHeight="1">
      <c r="A7" s="4" t="inlineStr">
        <is>
          <t>IP-Telefonlar</t>
        </is>
      </c>
      <c r="B7" s="4" t="inlineStr">
        <is>
          <t xml:space="preserve"> IP telefon Yealink SIP-T30P</t>
        </is>
      </c>
      <c r="C7" s="5" t="inlineStr"/>
      <c r="D7" s="5" t="n">
        <v>678684</v>
      </c>
      <c r="E7" s="5" t="n">
        <v>605968</v>
      </c>
      <c r="F7" s="5" t="n">
        <v>566280</v>
      </c>
      <c r="G7" s="5" t="inlineStr">
        <is>
          <t>Yealink</t>
        </is>
      </c>
      <c r="H7" s="5">
        <f>HYPERLINK("https://itrix.uz/product/317", "🔗 Mahsulot sotib olish")</f>
        <v/>
      </c>
      <c r="I7" t="inlineStr">
        <is>
          <t>6-317-319</t>
        </is>
      </c>
    </row>
    <row r="8" ht="30" customHeight="1">
      <c r="A8" s="4" t="inlineStr">
        <is>
          <t>IP-ATS</t>
        </is>
      </c>
      <c r="B8" s="4" t="inlineStr">
        <is>
          <t>VoIP ovozli shlyuz Grandstream GXW4224</t>
        </is>
      </c>
      <c r="C8" s="5" t="inlineStr"/>
      <c r="D8" s="5" t="n">
        <v>10847021</v>
      </c>
      <c r="E8" s="5" t="n">
        <v>9684840</v>
      </c>
      <c r="F8" s="5" t="inlineStr"/>
      <c r="G8" s="5" t="inlineStr">
        <is>
          <t>Grandstream</t>
        </is>
      </c>
      <c r="H8" s="5">
        <f>HYPERLINK("https://itrix.uz/product/30", "🔗 Mahsulot sotib olish")</f>
        <v/>
      </c>
      <c r="I8" t="inlineStr">
        <is>
          <t>6-30-29</t>
        </is>
      </c>
    </row>
    <row r="9" ht="30" customHeight="1">
      <c r="A9" s="4" t="inlineStr">
        <is>
          <t>IP-Telefonlar</t>
        </is>
      </c>
      <c r="B9" s="4" t="inlineStr">
        <is>
          <t xml:space="preserve"> IP telefon Yealink SIP-T31W</t>
        </is>
      </c>
      <c r="C9" s="5" t="inlineStr"/>
      <c r="D9" s="5" t="n">
        <v>883861</v>
      </c>
      <c r="E9" s="5" t="n">
        <v>789162</v>
      </c>
      <c r="F9" s="5" t="n">
        <v>737495</v>
      </c>
      <c r="G9" s="5" t="inlineStr">
        <is>
          <t>Yealink</t>
        </is>
      </c>
      <c r="H9" s="5">
        <f>HYPERLINK("https://itrix.uz/product/318", "🔗 Mahsulot sotib olish")</f>
        <v/>
      </c>
      <c r="I9" t="inlineStr">
        <is>
          <t>6-318-320</t>
        </is>
      </c>
    </row>
    <row r="10" ht="30" customHeight="1">
      <c r="A10" s="4" t="inlineStr">
        <is>
          <t>IP-Telefonlar</t>
        </is>
      </c>
      <c r="B10" s="4" t="inlineStr">
        <is>
          <t xml:space="preserve"> IP telefon Yealink SIP-T46U</t>
        </is>
      </c>
      <c r="C10" s="5" t="inlineStr"/>
      <c r="D10" s="5" t="n">
        <v>3089856</v>
      </c>
      <c r="E10" s="5" t="n">
        <v>2758800</v>
      </c>
      <c r="F10" s="5" t="inlineStr"/>
      <c r="G10" s="5" t="inlineStr">
        <is>
          <t>Yealink</t>
        </is>
      </c>
      <c r="H10" s="5">
        <f>HYPERLINK("https://itrix.uz/product/322", "🔗 Mahsulot sotib olish")</f>
        <v/>
      </c>
      <c r="I10" t="inlineStr">
        <is>
          <t>6-322-324</t>
        </is>
      </c>
    </row>
    <row r="11" ht="30" customHeight="1">
      <c r="A11" s="4" t="inlineStr">
        <is>
          <t>IP-Telefonlar</t>
        </is>
      </c>
      <c r="B11" s="4" t="inlineStr">
        <is>
          <t xml:space="preserve"> IP telefon Yealink SIP-T33P</t>
        </is>
      </c>
      <c r="C11" s="5" t="inlineStr"/>
      <c r="D11" s="5" t="n">
        <v>1124816</v>
      </c>
      <c r="E11" s="5" t="n">
        <v>1004300</v>
      </c>
      <c r="F11" s="5" t="inlineStr"/>
      <c r="G11" s="5" t="inlineStr">
        <is>
          <t>Yealink</t>
        </is>
      </c>
      <c r="H11" s="5">
        <f>HYPERLINK("https://itrix.uz/product/323", "🔗 Mahsulot sotib olish")</f>
        <v/>
      </c>
      <c r="I11" t="inlineStr">
        <is>
          <t>6-323-325</t>
        </is>
      </c>
    </row>
    <row r="12" ht="30" customHeight="1">
      <c r="A12" s="4" t="inlineStr">
        <is>
          <t>IP-Telefonlar</t>
        </is>
      </c>
      <c r="B12" s="4" t="inlineStr">
        <is>
          <t xml:space="preserve"> IP telefon Yealink SIP-T48U</t>
        </is>
      </c>
      <c r="C12" s="5" t="inlineStr"/>
      <c r="D12" s="5" t="n">
        <v>4065600</v>
      </c>
      <c r="E12" s="5" t="n">
        <v>3630000</v>
      </c>
      <c r="F12" s="5" t="inlineStr"/>
      <c r="G12" s="5" t="inlineStr">
        <is>
          <t>Yealink</t>
        </is>
      </c>
      <c r="H12" s="5">
        <f>HYPERLINK("https://itrix.uz/product/324", "🔗 Mahsulot sotib olish")</f>
        <v/>
      </c>
      <c r="I12" t="inlineStr">
        <is>
          <t>6-324-326</t>
        </is>
      </c>
    </row>
    <row r="13" ht="30" customHeight="1">
      <c r="A13" s="4" t="inlineStr">
        <is>
          <t>IP-Telefonlar</t>
        </is>
      </c>
      <c r="B13" s="4" t="inlineStr">
        <is>
          <t>WiFi telefon Grandstream WP810</t>
        </is>
      </c>
      <c r="C13" s="5" t="inlineStr"/>
      <c r="D13" s="5" t="n">
        <v>1748208</v>
      </c>
      <c r="E13" s="5" t="n">
        <v>1560900</v>
      </c>
      <c r="F13" s="5" t="inlineStr"/>
      <c r="G13" s="5" t="inlineStr">
        <is>
          <t>Grandstream</t>
        </is>
      </c>
      <c r="H13" s="5">
        <f>HYPERLINK("https://itrix.uz/product/23", "🔗 Mahsulot sotib olish")</f>
        <v/>
      </c>
      <c r="I13" t="inlineStr">
        <is>
          <t>6-23-22</t>
        </is>
      </c>
    </row>
    <row r="14" ht="30" customHeight="1">
      <c r="A14" s="4" t="inlineStr">
        <is>
          <t>IP-Telefonlar</t>
        </is>
      </c>
      <c r="B14" s="4" t="inlineStr">
        <is>
          <t xml:space="preserve"> IP telefon Yealink SIP-T58W</t>
        </is>
      </c>
      <c r="C14" s="5" t="inlineStr"/>
      <c r="D14" s="5" t="n">
        <v>5868965</v>
      </c>
      <c r="E14" s="5" t="n">
        <v>5240147</v>
      </c>
      <c r="F14" s="5" t="n">
        <v>4507250</v>
      </c>
      <c r="G14" s="5" t="inlineStr">
        <is>
          <t>Yealink</t>
        </is>
      </c>
      <c r="H14" s="5">
        <f>HYPERLINK("https://itrix.uz/product/327", "🔗 Mahsulot sotib olish")</f>
        <v/>
      </c>
      <c r="I14" t="inlineStr">
        <is>
          <t>6-327-329</t>
        </is>
      </c>
    </row>
    <row r="15" ht="30" customHeight="1">
      <c r="A15" s="4" t="inlineStr">
        <is>
          <t>IP-Telefonlar</t>
        </is>
      </c>
      <c r="B15" s="4" t="inlineStr">
        <is>
          <t>IP videotelefon Yealink VP59</t>
        </is>
      </c>
      <c r="C15" s="5" t="inlineStr"/>
      <c r="D15" s="5" t="n">
        <v>11207504</v>
      </c>
      <c r="E15" s="5" t="n">
        <v>10006700</v>
      </c>
      <c r="F15" s="5" t="inlineStr"/>
      <c r="G15" s="5" t="inlineStr">
        <is>
          <t>Yealink</t>
        </is>
      </c>
      <c r="H15" s="5">
        <f>HYPERLINK("https://itrix.uz/product/329", "🔗 Mahsulot sotib olish")</f>
        <v/>
      </c>
      <c r="I15" t="inlineStr">
        <is>
          <t>6-329-331</t>
        </is>
      </c>
    </row>
    <row r="16" ht="30" customHeight="1">
      <c r="A16" s="4" t="inlineStr">
        <is>
          <t>IP-ATS</t>
        </is>
      </c>
      <c r="B16" s="4" t="inlineStr">
        <is>
          <t>IP-ATS Grandstream UCM6510</t>
        </is>
      </c>
      <c r="C16" s="5" t="inlineStr"/>
      <c r="D16" s="5" t="n">
        <v>14066976</v>
      </c>
      <c r="E16" s="5" t="n">
        <v>12559800</v>
      </c>
      <c r="F16" s="5" t="inlineStr"/>
      <c r="G16" s="5" t="inlineStr">
        <is>
          <t>Grandstream</t>
        </is>
      </c>
      <c r="H16" s="5">
        <f>HYPERLINK("https://itrix.uz/product/29", "🔗 Mahsulot sotib olish")</f>
        <v/>
      </c>
      <c r="I16" t="inlineStr">
        <is>
          <t>6-29-28</t>
        </is>
      </c>
    </row>
    <row r="17" ht="30" customHeight="1">
      <c r="A17" s="4" t="inlineStr">
        <is>
          <t>IP-Telefonlar</t>
        </is>
      </c>
      <c r="B17" s="4" t="inlineStr">
        <is>
          <t xml:space="preserve"> Yealink EXP40 kengaytirish moduli</t>
        </is>
      </c>
      <c r="C17" s="5" t="inlineStr"/>
      <c r="D17" s="5" t="n">
        <v>1992144</v>
      </c>
      <c r="E17" s="5" t="n">
        <v>1778700</v>
      </c>
      <c r="F17" s="5" t="inlineStr"/>
      <c r="G17" s="5" t="inlineStr">
        <is>
          <t>Yealink</t>
        </is>
      </c>
      <c r="H17" s="5">
        <f>HYPERLINK("https://itrix.uz/product/330", "🔗 Mahsulot sotib olish")</f>
        <v/>
      </c>
      <c r="I17" t="inlineStr">
        <is>
          <t>6-330-332</t>
        </is>
      </c>
    </row>
    <row r="18" ht="30" customHeight="1">
      <c r="A18" s="4" t="inlineStr">
        <is>
          <t>IP-Telefonlar</t>
        </is>
      </c>
      <c r="B18" s="4" t="inlineStr">
        <is>
          <t xml:space="preserve"> Yealink EXP43 kengaytirish moduli</t>
        </is>
      </c>
      <c r="C18" s="5" t="inlineStr"/>
      <c r="D18" s="5" t="n">
        <v>1680448</v>
      </c>
      <c r="E18" s="5" t="n">
        <v>1500400</v>
      </c>
      <c r="F18" s="5" t="inlineStr"/>
      <c r="G18" s="5" t="inlineStr">
        <is>
          <t>Yealink</t>
        </is>
      </c>
      <c r="H18" s="5">
        <f>HYPERLINK("https://itrix.uz/product/331", "🔗 Mahsulot sotib olish")</f>
        <v/>
      </c>
      <c r="I18" t="inlineStr">
        <is>
          <t>6-331-333</t>
        </is>
      </c>
    </row>
    <row r="19" ht="30" customHeight="1">
      <c r="A19" s="4" t="inlineStr">
        <is>
          <t>IP-Telefonlar</t>
        </is>
      </c>
      <c r="B19" s="4" t="inlineStr">
        <is>
          <t>IP telefon Grandstream GXP2160</t>
        </is>
      </c>
      <c r="C19" s="5" t="inlineStr"/>
      <c r="D19" s="5" t="n">
        <v>2715821</v>
      </c>
      <c r="E19" s="5" t="n">
        <v>2424840</v>
      </c>
      <c r="F19" s="5" t="inlineStr"/>
      <c r="G19" s="5" t="inlineStr">
        <is>
          <t>Grandstream</t>
        </is>
      </c>
      <c r="H19" s="5">
        <f>HYPERLINK("https://itrix.uz/product/16", "🔗 Mahsulot sotib olish")</f>
        <v/>
      </c>
      <c r="I19" t="inlineStr">
        <is>
          <t>6-16-15</t>
        </is>
      </c>
    </row>
    <row r="20" ht="30" customHeight="1">
      <c r="A20" s="4" t="inlineStr">
        <is>
          <t>IP-Telefonlar</t>
        </is>
      </c>
      <c r="B20" s="4" t="inlineStr">
        <is>
          <t>Simsiz DECT trubka Grandstream DP72</t>
        </is>
      </c>
      <c r="C20" s="5" t="inlineStr"/>
      <c r="D20" s="5" t="n">
        <v>1124816</v>
      </c>
      <c r="E20" s="5" t="n">
        <v>1004300</v>
      </c>
      <c r="F20" s="5" t="inlineStr"/>
      <c r="G20" s="5" t="inlineStr">
        <is>
          <t>Grandstream</t>
        </is>
      </c>
      <c r="H20" s="5">
        <f>HYPERLINK("https://itrix.uz/product/19", "🔗 Mahsulot sotib olish")</f>
        <v/>
      </c>
      <c r="I20" t="inlineStr">
        <is>
          <t>6-19-18</t>
        </is>
      </c>
    </row>
    <row r="21" ht="30" customHeight="1">
      <c r="A21" s="4" t="inlineStr">
        <is>
          <t>IP-Telefonlar</t>
        </is>
      </c>
      <c r="B21" s="4" t="inlineStr">
        <is>
          <t xml:space="preserve"> Yealink EXP50 kengaytirish moduli</t>
        </is>
      </c>
      <c r="C21" s="5" t="inlineStr"/>
      <c r="D21" s="5" t="n">
        <v>1939427</v>
      </c>
      <c r="E21" s="5" t="n">
        <v>1731631</v>
      </c>
      <c r="F21" s="5" t="n">
        <v>1618375</v>
      </c>
      <c r="G21" s="5" t="inlineStr">
        <is>
          <t>Yealink</t>
        </is>
      </c>
      <c r="H21" s="5">
        <f>HYPERLINK("https://itrix.uz/product/332", "🔗 Mahsulot sotib olish")</f>
        <v/>
      </c>
      <c r="I21" t="inlineStr">
        <is>
          <t>6-332-334</t>
        </is>
      </c>
    </row>
    <row r="22" ht="30" customHeight="1">
      <c r="A22" s="4" t="inlineStr">
        <is>
          <t>IP-Telefonlar</t>
        </is>
      </c>
      <c r="B22" s="4" t="inlineStr">
        <is>
          <t>DECT-trubka Grandstream DP730</t>
        </is>
      </c>
      <c r="C22" s="5" t="inlineStr"/>
      <c r="D22" s="5" t="n">
        <v>1246784</v>
      </c>
      <c r="E22" s="5" t="n">
        <v>1113200</v>
      </c>
      <c r="F22" s="5" t="inlineStr"/>
      <c r="G22" s="5" t="inlineStr">
        <is>
          <t>Grandstream</t>
        </is>
      </c>
      <c r="H22" s="5">
        <f>HYPERLINK("https://itrix.uz/product/20", "🔗 Mahsulot sotib olish")</f>
        <v/>
      </c>
      <c r="I22" t="inlineStr">
        <is>
          <t>6-20-19</t>
        </is>
      </c>
    </row>
    <row r="23" ht="30" customHeight="1">
      <c r="A23" s="4" t="inlineStr">
        <is>
          <t>IP-Telefonlar</t>
        </is>
      </c>
      <c r="B23" s="4" t="inlineStr">
        <is>
          <t>IP videotelefon Grandstream GXV3350</t>
        </is>
      </c>
      <c r="C23" s="5" t="inlineStr"/>
      <c r="D23" s="5" t="n">
        <v>3588976</v>
      </c>
      <c r="E23" s="5" t="n">
        <v>3204443</v>
      </c>
      <c r="F23" s="5" t="n">
        <v>2994750</v>
      </c>
      <c r="G23" s="5" t="inlineStr">
        <is>
          <t>Grandstream</t>
        </is>
      </c>
      <c r="H23" s="5">
        <f>HYPERLINK("https://itrix.uz/product/22", "🔗 Mahsulot sotib olish")</f>
        <v/>
      </c>
      <c r="I23" t="inlineStr">
        <is>
          <t>6-22-21</t>
        </is>
      </c>
    </row>
    <row r="24" ht="30" customHeight="1">
      <c r="A24" s="4" t="inlineStr">
        <is>
          <t>IP-ATS</t>
        </is>
      </c>
      <c r="B24" s="4" t="inlineStr">
        <is>
          <t>IP-ATS Grandstream UCM6308</t>
        </is>
      </c>
      <c r="C24" s="5" t="inlineStr"/>
      <c r="D24" s="5" t="n">
        <v>13624774</v>
      </c>
      <c r="E24" s="5" t="n">
        <v>12164977</v>
      </c>
      <c r="F24" s="5" t="n">
        <v>11369160</v>
      </c>
      <c r="G24" s="5" t="inlineStr">
        <is>
          <t>Grandstream</t>
        </is>
      </c>
      <c r="H24" s="5">
        <f>HYPERLINK("https://itrix.uz/product/26", "🔗 Mahsulot sotib olish")</f>
        <v/>
      </c>
      <c r="I24" t="inlineStr">
        <is>
          <t>6-26-25</t>
        </is>
      </c>
    </row>
    <row r="25" ht="30" customHeight="1">
      <c r="A25" s="4" t="inlineStr">
        <is>
          <t>IP-ATS</t>
        </is>
      </c>
      <c r="B25" s="4" t="inlineStr">
        <is>
          <t>IP-ATS Grandstream UCM6204</t>
        </is>
      </c>
      <c r="C25" s="5" t="inlineStr"/>
      <c r="D25" s="5" t="n">
        <v>5840912</v>
      </c>
      <c r="E25" s="5" t="n">
        <v>5215100</v>
      </c>
      <c r="F25" s="5" t="inlineStr"/>
      <c r="G25" s="5" t="inlineStr">
        <is>
          <t>Grandstream</t>
        </is>
      </c>
      <c r="H25" s="5">
        <f>HYPERLINK("https://itrix.uz/product/27", "🔗 Mahsulot sotib olish")</f>
        <v/>
      </c>
      <c r="I25" t="inlineStr">
        <is>
          <t>6-27-26</t>
        </is>
      </c>
    </row>
    <row r="26" ht="30" customHeight="1">
      <c r="A26" s="4" t="inlineStr">
        <is>
          <t>IP-Telefonlar</t>
        </is>
      </c>
      <c r="B26" s="4" t="inlineStr">
        <is>
          <t>IP telefon Grandstream GAC2570 – professional konferensiya telefoni</t>
        </is>
      </c>
      <c r="C26" s="5" t="inlineStr"/>
      <c r="D26" s="5" t="n">
        <v>13644154</v>
      </c>
      <c r="E26" s="5" t="n">
        <v>12182280</v>
      </c>
      <c r="F26" s="5" t="inlineStr"/>
      <c r="G26" s="5" t="inlineStr">
        <is>
          <t>Grandstream</t>
        </is>
      </c>
      <c r="H26" s="5">
        <f>HYPERLINK("https://itrix.uz/product/914", "🔗 Mahsulot sotib olish")</f>
        <v/>
      </c>
      <c r="I26" t="inlineStr">
        <is>
          <t>6-914-804</t>
        </is>
      </c>
    </row>
    <row r="27" ht="30" customHeight="1">
      <c r="A27" s="4" t="inlineStr">
        <is>
          <t>IP-ATS</t>
        </is>
      </c>
      <c r="B27" s="4" t="inlineStr">
        <is>
          <t>IP-ATS Grandstream UCM6208</t>
        </is>
      </c>
      <c r="C27" s="5" t="inlineStr"/>
      <c r="D27" s="5" t="n">
        <v>8957872</v>
      </c>
      <c r="E27" s="5" t="n">
        <v>7998100</v>
      </c>
      <c r="F27" s="5" t="inlineStr"/>
      <c r="G27" s="5" t="inlineStr">
        <is>
          <t>Grandstream</t>
        </is>
      </c>
      <c r="H27" s="5">
        <f>HYPERLINK("https://itrix.uz/product/28", "🔗 Mahsulot sotib olish")</f>
        <v/>
      </c>
      <c r="I27" t="inlineStr">
        <is>
          <t>6-28-27</t>
        </is>
      </c>
    </row>
    <row r="28" ht="30" customHeight="1">
      <c r="A28" s="4" t="inlineStr">
        <is>
          <t>IP-Telefonlar</t>
        </is>
      </c>
      <c r="B28" s="4" t="inlineStr">
        <is>
          <t>Grandstream GXP1630 IP telefoni</t>
        </is>
      </c>
      <c r="C28" s="5" t="inlineStr"/>
      <c r="D28" s="5" t="n">
        <v>829382</v>
      </c>
      <c r="E28" s="5" t="n">
        <v>740520</v>
      </c>
      <c r="F28" s="5" t="inlineStr"/>
      <c r="G28" s="5" t="inlineStr">
        <is>
          <t>Grandstream</t>
        </is>
      </c>
      <c r="H28" s="5">
        <f>HYPERLINK("https://itrix.uz/product/1242", "🔗 Mahsulot sotib olish")</f>
        <v/>
      </c>
      <c r="I28" t="inlineStr">
        <is>
          <t>6-1242-953</t>
        </is>
      </c>
    </row>
    <row r="29" ht="30" customHeight="1">
      <c r="A29" s="4" t="inlineStr">
        <is>
          <t>IP-Telefonlar</t>
        </is>
      </c>
      <c r="B29" s="4" t="inlineStr">
        <is>
          <t xml:space="preserve"> IP telefon Yealink SIP-T58W Pro</t>
        </is>
      </c>
      <c r="C29" s="5" t="inlineStr"/>
      <c r="D29" s="5" t="n">
        <v>7540333</v>
      </c>
      <c r="E29" s="5" t="n">
        <v>6732440</v>
      </c>
      <c r="F29" s="5" t="n">
        <v>6292000</v>
      </c>
      <c r="G29" s="5" t="inlineStr">
        <is>
          <t>Yealink</t>
        </is>
      </c>
      <c r="H29" s="5">
        <f>HYPERLINK("https://itrix.uz/product/328", "🔗 Mahsulot sotib olish")</f>
        <v/>
      </c>
      <c r="I29" t="inlineStr">
        <is>
          <t>6-328-330</t>
        </is>
      </c>
    </row>
    <row r="30" ht="30" customHeight="1">
      <c r="A30" s="4" t="inlineStr">
        <is>
          <t>IP uskunalari</t>
        </is>
      </c>
      <c r="B30" s="4" t="inlineStr">
        <is>
          <t>Ubiquiti UniFi G6 Instant (UVC-G6-INS-W) videokamerasi</t>
        </is>
      </c>
      <c r="C30" s="5" t="inlineStr"/>
      <c r="D30" s="5" t="n">
        <v>3427572</v>
      </c>
      <c r="E30" s="5" t="n">
        <v>3060332</v>
      </c>
      <c r="F30" s="5" t="n">
        <v>2824987</v>
      </c>
      <c r="G30" s="5" t="inlineStr">
        <is>
          <t>UniFi UBIQUITI</t>
        </is>
      </c>
      <c r="H30" s="5">
        <f>HYPERLINK("https://itrix.uz/product/1450", "🔗 Mahsulot sotib olish")</f>
        <v/>
      </c>
      <c r="I30" t="inlineStr">
        <is>
          <t>6-1450-1150</t>
        </is>
      </c>
    </row>
    <row r="31" ht="30" customHeight="1">
      <c r="A31" s="4" t="inlineStr">
        <is>
          <t>IP-ATS</t>
        </is>
      </c>
      <c r="B31" s="4" t="inlineStr">
        <is>
          <t>VoIP ovozli shlyuz Grandstream GXW4232</t>
        </is>
      </c>
      <c r="C31" s="5" t="inlineStr"/>
      <c r="D31" s="5" t="n">
        <v>9337328</v>
      </c>
      <c r="E31" s="5" t="n">
        <v>8336900</v>
      </c>
      <c r="F31" s="5" t="inlineStr"/>
      <c r="G31" s="5" t="inlineStr">
        <is>
          <t>Grandstream</t>
        </is>
      </c>
      <c r="H31" s="5">
        <f>HYPERLINK("https://itrix.uz/product/31", "🔗 Mahsulot sotib olish")</f>
        <v/>
      </c>
      <c r="I31" t="inlineStr">
        <is>
          <t>6-31-30</t>
        </is>
      </c>
    </row>
    <row r="32" ht="30" customHeight="1">
      <c r="A32" s="4" t="inlineStr">
        <is>
          <t>IP-Telefonlar</t>
        </is>
      </c>
      <c r="B32" s="4" t="inlineStr">
        <is>
          <t xml:space="preserve"> IP telefon Yealink SIP-T34W</t>
        </is>
      </c>
      <c r="C32" s="5" t="inlineStr"/>
      <c r="D32" s="5" t="n">
        <v>1409408</v>
      </c>
      <c r="E32" s="5" t="n">
        <v>1258400</v>
      </c>
      <c r="F32" s="5" t="n">
        <v>1176120</v>
      </c>
      <c r="G32" s="5" t="inlineStr">
        <is>
          <t>Yealink</t>
        </is>
      </c>
      <c r="H32" s="5">
        <f>HYPERLINK("https://itrix.uz/product/319", "🔗 Mahsulot sotib olish")</f>
        <v/>
      </c>
      <c r="I32" t="inlineStr">
        <is>
          <t>6-319-321</t>
        </is>
      </c>
    </row>
    <row r="33" ht="30" customHeight="1">
      <c r="A33" s="4" t="inlineStr">
        <is>
          <t>IP-Telefonlar</t>
        </is>
      </c>
      <c r="B33" s="4" t="inlineStr">
        <is>
          <t>IP telefon Grandstream GRP2602P</t>
        </is>
      </c>
      <c r="C33" s="5" t="inlineStr"/>
      <c r="D33" s="5" t="n">
        <v>829382</v>
      </c>
      <c r="E33" s="5" t="n">
        <v>740520</v>
      </c>
      <c r="F33" s="5" t="inlineStr"/>
      <c r="G33" s="5" t="inlineStr">
        <is>
          <t>Grandstream</t>
        </is>
      </c>
      <c r="H33" s="5">
        <f>HYPERLINK("https://itrix.uz/product/928", "🔗 Mahsulot sotib olish")</f>
        <v/>
      </c>
      <c r="I33" t="inlineStr">
        <is>
          <t>6-928-818</t>
        </is>
      </c>
    </row>
    <row r="34" ht="30" customHeight="1">
      <c r="A34" s="4" t="inlineStr">
        <is>
          <t>IP-Telefonlar</t>
        </is>
      </c>
      <c r="B34" s="4" t="inlineStr">
        <is>
          <t xml:space="preserve"> IP telefon Yealink SIP-T44W</t>
        </is>
      </c>
      <c r="C34" s="5" t="inlineStr"/>
      <c r="D34" s="5" t="n">
        <v>2100560</v>
      </c>
      <c r="E34" s="5" t="n">
        <v>1875500</v>
      </c>
      <c r="F34" s="5" t="inlineStr"/>
      <c r="G34" s="5" t="inlineStr">
        <is>
          <t>Yealink</t>
        </is>
      </c>
      <c r="H34" s="5">
        <f>HYPERLINK("https://itrix.uz/product/320", "🔗 Mahsulot sotib olish")</f>
        <v/>
      </c>
      <c r="I34" t="inlineStr">
        <is>
          <t>6-320-322</t>
        </is>
      </c>
    </row>
    <row r="35" ht="30" customHeight="1">
      <c r="A35" s="4" t="inlineStr">
        <is>
          <t>IP-Telefonlar</t>
        </is>
      </c>
      <c r="B35" s="4" t="inlineStr">
        <is>
          <t xml:space="preserve"> IP telefon Yealink SIP-T53W</t>
        </is>
      </c>
      <c r="C35" s="5" t="inlineStr"/>
      <c r="D35" s="5" t="n">
        <v>3130512</v>
      </c>
      <c r="E35" s="5" t="n">
        <v>2795100</v>
      </c>
      <c r="F35" s="5" t="inlineStr"/>
      <c r="G35" s="5" t="inlineStr">
        <is>
          <t>Yealink</t>
        </is>
      </c>
      <c r="H35" s="5">
        <f>HYPERLINK("https://itrix.uz/product/325", "🔗 Mahsulot sotib olish")</f>
        <v/>
      </c>
      <c r="I35" t="inlineStr">
        <is>
          <t>6-325-327</t>
        </is>
      </c>
    </row>
    <row r="36" ht="30" customHeight="1">
      <c r="A36" s="4" t="inlineStr">
        <is>
          <t>IP-Telefonlar</t>
        </is>
      </c>
      <c r="B36" s="4" t="inlineStr">
        <is>
          <t>IP telefon Grandstream GRP2602W – zamonaviy VoIP telefon</t>
        </is>
      </c>
      <c r="C36" s="5" t="inlineStr"/>
      <c r="D36" s="5" t="n">
        <v>1073318</v>
      </c>
      <c r="E36" s="5" t="n">
        <v>958320</v>
      </c>
      <c r="F36" s="5" t="inlineStr"/>
      <c r="G36" s="5" t="inlineStr">
        <is>
          <t>Grandstream</t>
        </is>
      </c>
      <c r="H36" s="5">
        <f>HYPERLINK("https://itrix.uz/product/929", "🔗 Mahsulot sotib olish")</f>
        <v/>
      </c>
      <c r="I36" t="inlineStr">
        <is>
          <t>6-929-819</t>
        </is>
      </c>
    </row>
    <row r="37" ht="30" customHeight="1">
      <c r="A37" s="4" t="inlineStr">
        <is>
          <t>IP-Telefonlar</t>
        </is>
      </c>
      <c r="B37" s="4" t="inlineStr">
        <is>
          <t>IP-telefon Grandstream GRP2610P</t>
        </is>
      </c>
      <c r="C37" s="5" t="inlineStr"/>
      <c r="D37" s="5" t="n">
        <v>894432</v>
      </c>
      <c r="E37" s="5" t="n">
        <v>798600</v>
      </c>
      <c r="F37" s="5" t="inlineStr"/>
      <c r="G37" s="5" t="inlineStr">
        <is>
          <t>Grandstream</t>
        </is>
      </c>
      <c r="H37" s="5">
        <f>HYPERLINK("https://itrix.uz/product/930", "🔗 Mahsulot sotib olish")</f>
        <v/>
      </c>
      <c r="I37" t="inlineStr">
        <is>
          <t>6-930-820</t>
        </is>
      </c>
    </row>
    <row r="38" ht="30" customHeight="1">
      <c r="A38" s="4" t="inlineStr">
        <is>
          <t>IP-Telefonlar</t>
        </is>
      </c>
      <c r="B38" s="4" t="inlineStr">
        <is>
          <t xml:space="preserve"> IP telefon Yealink SIP-T54W</t>
        </is>
      </c>
      <c r="C38" s="5" t="inlineStr"/>
      <c r="D38" s="5" t="n">
        <v>3943632</v>
      </c>
      <c r="E38" s="5" t="n">
        <v>3521100</v>
      </c>
      <c r="F38" s="5" t="inlineStr"/>
      <c r="G38" s="5" t="inlineStr">
        <is>
          <t>Yealink</t>
        </is>
      </c>
      <c r="H38" s="5">
        <f>HYPERLINK("https://itrix.uz/product/326", "🔗 Mahsulot sotib olish")</f>
        <v/>
      </c>
      <c r="I38" t="inlineStr">
        <is>
          <t>6-326-328</t>
        </is>
      </c>
    </row>
    <row r="39" ht="30" customHeight="1">
      <c r="A39" s="4" t="inlineStr">
        <is>
          <t>IP-Telefonlar</t>
        </is>
      </c>
      <c r="B39" s="4" t="inlineStr">
        <is>
          <t>IP telefon Grandstream GRP2612 (PoE siz)</t>
        </is>
      </c>
      <c r="C39" s="5" t="inlineStr"/>
      <c r="D39" s="5" t="n">
        <v>813120</v>
      </c>
      <c r="E39" s="5" t="n">
        <v>726000</v>
      </c>
      <c r="F39" s="5" t="inlineStr"/>
      <c r="G39" s="5" t="inlineStr">
        <is>
          <t>Grandstream</t>
        </is>
      </c>
      <c r="H39" s="5">
        <f>HYPERLINK("https://itrix.uz/product/14", "🔗 Mahsulot sotib olish")</f>
        <v/>
      </c>
      <c r="I39" t="inlineStr">
        <is>
          <t>6-14-13</t>
        </is>
      </c>
    </row>
    <row r="40" ht="30" customHeight="1">
      <c r="A40" s="4" t="inlineStr">
        <is>
          <t>IP-Telefonlar</t>
        </is>
      </c>
      <c r="B40" s="4" t="inlineStr">
        <is>
          <t>IP telefon Grandstream GRP2611G — operatorlar uchun, 3 liniyali</t>
        </is>
      </c>
      <c r="C40" s="5" t="inlineStr"/>
      <c r="D40" s="5" t="n">
        <v>1024531</v>
      </c>
      <c r="E40" s="5" t="n">
        <v>914760</v>
      </c>
      <c r="F40" s="5" t="inlineStr"/>
      <c r="G40" s="5" t="inlineStr">
        <is>
          <t>Grandstream</t>
        </is>
      </c>
      <c r="H40" s="5">
        <f>HYPERLINK("https://itrix.uz/product/931", "🔗 Mahsulot sotib olish")</f>
        <v/>
      </c>
      <c r="I40" t="inlineStr">
        <is>
          <t>6-931-821</t>
        </is>
      </c>
    </row>
    <row r="41" ht="30" customHeight="1">
      <c r="A41" s="4" t="inlineStr">
        <is>
          <t>IP-ATS</t>
        </is>
      </c>
      <c r="B41" s="4" t="inlineStr">
        <is>
          <t>IP ATC Grandstream UCM6304</t>
        </is>
      </c>
      <c r="C41" s="5" t="inlineStr"/>
      <c r="D41" s="5" t="n">
        <v>10884289</v>
      </c>
      <c r="E41" s="5" t="n">
        <v>9718115</v>
      </c>
      <c r="F41" s="5" t="n">
        <v>8228000</v>
      </c>
      <c r="G41" s="5" t="inlineStr">
        <is>
          <t>Grandstream</t>
        </is>
      </c>
      <c r="H41" s="5">
        <f>HYPERLINK("https://itrix.uz/product/598", "🔗 Mahsulot sotib olish")</f>
        <v/>
      </c>
      <c r="I41" t="inlineStr">
        <is>
          <t>6-598-553</t>
        </is>
      </c>
    </row>
    <row r="42" ht="30" customHeight="1">
      <c r="A42" s="4" t="inlineStr">
        <is>
          <t>IP-Telefonlar</t>
        </is>
      </c>
      <c r="B42" s="4" t="inlineStr">
        <is>
          <t>IP telefon Grandstream GRP2615</t>
        </is>
      </c>
      <c r="C42" s="5" t="inlineStr"/>
      <c r="D42" s="5" t="n">
        <v>3187430</v>
      </c>
      <c r="E42" s="5" t="n">
        <v>2845920</v>
      </c>
      <c r="F42" s="5" t="inlineStr"/>
      <c r="G42" s="5" t="inlineStr">
        <is>
          <t>Grandstream</t>
        </is>
      </c>
      <c r="H42" s="5">
        <f>HYPERLINK("https://itrix.uz/product/934", "🔗 Mahsulot sotib olish")</f>
        <v/>
      </c>
      <c r="I42" t="inlineStr">
        <is>
          <t>6-934-824</t>
        </is>
      </c>
    </row>
    <row r="43" ht="30" customHeight="1">
      <c r="A43" s="4" t="inlineStr">
        <is>
          <t>IP-ATS</t>
        </is>
      </c>
      <c r="B43" s="4" t="inlineStr">
        <is>
          <t xml:space="preserve">IP-АТС - Grandstream GCC6011 </t>
        </is>
      </c>
      <c r="C43" s="5" t="inlineStr"/>
      <c r="D43" s="5" t="n">
        <v>5447904</v>
      </c>
      <c r="E43" s="5" t="n">
        <v>4864200</v>
      </c>
      <c r="F43" s="5" t="inlineStr"/>
      <c r="G43" s="5" t="inlineStr">
        <is>
          <t>Grandstream</t>
        </is>
      </c>
      <c r="H43" s="5">
        <f>HYPERLINK("https://itrix.uz/product/916", "🔗 Mahsulot sotib olish")</f>
        <v/>
      </c>
      <c r="I43" t="inlineStr">
        <is>
          <t>6-916-806</t>
        </is>
      </c>
    </row>
    <row r="44" ht="30" customHeight="1">
      <c r="A44" s="4" t="inlineStr">
        <is>
          <t>IP-Telefonlar</t>
        </is>
      </c>
      <c r="B44" s="4" t="inlineStr">
        <is>
          <t xml:space="preserve">IP telefon Grandstream GRP2616 </t>
        </is>
      </c>
      <c r="C44" s="5" t="inlineStr"/>
      <c r="D44" s="5" t="n">
        <v>3447629</v>
      </c>
      <c r="E44" s="5" t="n">
        <v>3078240</v>
      </c>
      <c r="F44" s="5" t="inlineStr"/>
      <c r="G44" s="5" t="inlineStr">
        <is>
          <t>Grandstream</t>
        </is>
      </c>
      <c r="H44" s="5">
        <f>HYPERLINK("https://itrix.uz/product/935", "🔗 Mahsulot sotib olish")</f>
        <v/>
      </c>
      <c r="I44" t="inlineStr">
        <is>
          <t>6-935-825</t>
        </is>
      </c>
    </row>
    <row r="45" ht="30" customHeight="1">
      <c r="A45" s="4" t="inlineStr">
        <is>
          <t>IP-Telefonlar</t>
        </is>
      </c>
      <c r="B45" s="4" t="inlineStr">
        <is>
          <t>IP telefon Grandstream GRP2612W (PoE, 16 virtual BLF)</t>
        </is>
      </c>
      <c r="C45" s="5" t="inlineStr"/>
      <c r="D45" s="5" t="n">
        <v>1284730</v>
      </c>
      <c r="E45" s="5" t="n">
        <v>1147080</v>
      </c>
      <c r="F45" s="5" t="inlineStr"/>
      <c r="G45" s="5" t="inlineStr">
        <is>
          <t>Grandstream</t>
        </is>
      </c>
      <c r="H45" s="5">
        <f>HYPERLINK("https://itrix.uz/product/933", "🔗 Mahsulot sotib olish")</f>
        <v/>
      </c>
      <c r="I45" t="inlineStr">
        <is>
          <t>6-933-823</t>
        </is>
      </c>
    </row>
    <row r="46" ht="30" customHeight="1">
      <c r="A46" s="4" t="inlineStr">
        <is>
          <t>IP-Telefonlar</t>
        </is>
      </c>
      <c r="B46" s="4" t="inlineStr">
        <is>
          <t>IP telefon Grandstream GRP2601 (PoE yo‘q) — 2 liniya, 2 SIP akkaunt</t>
        </is>
      </c>
      <c r="C46" s="5" t="inlineStr"/>
      <c r="D46" s="5" t="n">
        <v>731808</v>
      </c>
      <c r="E46" s="5" t="n">
        <v>653400</v>
      </c>
      <c r="F46" s="5" t="inlineStr"/>
      <c r="G46" s="5" t="inlineStr">
        <is>
          <t>Grandstream</t>
        </is>
      </c>
      <c r="H46" s="5">
        <f>HYPERLINK("https://itrix.uz/product/923", "🔗 Mahsulot sotib olish")</f>
        <v/>
      </c>
      <c r="I46" t="inlineStr">
        <is>
          <t>6-923-813</t>
        </is>
      </c>
    </row>
    <row r="47" ht="30" customHeight="1">
      <c r="A47" s="4" t="inlineStr">
        <is>
          <t>IP-Telefonlar</t>
        </is>
      </c>
      <c r="B47" s="4" t="inlineStr">
        <is>
          <t xml:space="preserve">IP telefon Grandstream GRP2636 </t>
        </is>
      </c>
      <c r="C47" s="5" t="inlineStr"/>
      <c r="D47" s="5" t="n">
        <v>2927232</v>
      </c>
      <c r="E47" s="5" t="n">
        <v>2613600</v>
      </c>
      <c r="F47" s="5" t="inlineStr"/>
      <c r="G47" s="5" t="inlineStr">
        <is>
          <t>Grandstream</t>
        </is>
      </c>
      <c r="H47" s="5">
        <f>HYPERLINK("https://itrix.uz/product/937", "🔗 Mahsulot sotib olish")</f>
        <v/>
      </c>
      <c r="I47" t="inlineStr">
        <is>
          <t>6-937-827</t>
        </is>
      </c>
    </row>
    <row r="48" ht="30" customHeight="1">
      <c r="A48" s="4" t="inlineStr">
        <is>
          <t>IP-Telefonlar</t>
        </is>
      </c>
      <c r="B48" s="4" t="inlineStr">
        <is>
          <t>IP telefon Grandstream GRP2670</t>
        </is>
      </c>
      <c r="C48" s="5" t="inlineStr"/>
      <c r="D48" s="5" t="n">
        <v>3626515</v>
      </c>
      <c r="E48" s="5" t="n">
        <v>3237960</v>
      </c>
      <c r="F48" s="5" t="inlineStr"/>
      <c r="G48" s="5" t="inlineStr">
        <is>
          <t>Grandstream</t>
        </is>
      </c>
      <c r="H48" s="5">
        <f>HYPERLINK("https://itrix.uz/product/938", "🔗 Mahsulot sotib olish")</f>
        <v/>
      </c>
      <c r="I48" t="inlineStr">
        <is>
          <t>6-938-828</t>
        </is>
      </c>
    </row>
    <row r="49" ht="30" customHeight="1">
      <c r="A49" s="4" t="inlineStr">
        <is>
          <t>IP-Telefonlar</t>
        </is>
      </c>
      <c r="B49" s="4" t="inlineStr">
        <is>
          <t>WiFi telefon Grandstream WP816</t>
        </is>
      </c>
      <c r="C49" s="5" t="inlineStr"/>
      <c r="D49" s="5" t="n">
        <v>1366042</v>
      </c>
      <c r="E49" s="5" t="n">
        <v>1219680</v>
      </c>
      <c r="F49" s="5" t="inlineStr"/>
      <c r="G49" s="5" t="inlineStr">
        <is>
          <t>Grandstream</t>
        </is>
      </c>
      <c r="H49" s="5">
        <f>HYPERLINK("https://itrix.uz/product/991", "🔗 Mahsulot sotib olish")</f>
        <v/>
      </c>
      <c r="I49" t="inlineStr">
        <is>
          <t>6-991-880</t>
        </is>
      </c>
    </row>
    <row r="50" ht="30" customHeight="1">
      <c r="A50" s="4" t="inlineStr">
        <is>
          <t>IP-Telefonlar</t>
        </is>
      </c>
      <c r="B50" s="4" t="inlineStr">
        <is>
          <t>IP telefon Grandstream GRP2624</t>
        </is>
      </c>
      <c r="C50" s="5" t="inlineStr"/>
      <c r="D50" s="5" t="n">
        <v>2000275</v>
      </c>
      <c r="E50" s="5" t="n">
        <v>1785960</v>
      </c>
      <c r="F50" s="5" t="inlineStr"/>
      <c r="G50" s="5" t="inlineStr">
        <is>
          <t>Grandstream</t>
        </is>
      </c>
      <c r="H50" s="5">
        <f>HYPERLINK("https://itrix.uz/product/936", "🔗 Mahsulot sotib olish")</f>
        <v/>
      </c>
      <c r="I50" t="inlineStr">
        <is>
          <t>6-936-826</t>
        </is>
      </c>
    </row>
    <row r="51" ht="30" customHeight="1">
      <c r="A51" s="4" t="inlineStr">
        <is>
          <t>IP-Telefonlar</t>
        </is>
      </c>
      <c r="B51" s="4" t="inlineStr">
        <is>
          <t>IP videotelefon Grandstream GXV3450</t>
        </is>
      </c>
      <c r="C51" s="5" t="inlineStr"/>
      <c r="D51" s="5" t="n">
        <v>5380144</v>
      </c>
      <c r="E51" s="5" t="n">
        <v>4803700</v>
      </c>
      <c r="F51" s="5" t="inlineStr"/>
      <c r="G51" s="5" t="inlineStr">
        <is>
          <t>Grandstream</t>
        </is>
      </c>
      <c r="H51" s="5">
        <f>HYPERLINK("https://itrix.uz/product/983", "🔗 Mahsulot sotib olish")</f>
        <v/>
      </c>
      <c r="I51" t="inlineStr">
        <is>
          <t>6-983-872</t>
        </is>
      </c>
    </row>
    <row r="52" ht="30" customHeight="1">
      <c r="A52" s="4" t="inlineStr">
        <is>
          <t>IP-Telefonlar</t>
        </is>
      </c>
      <c r="B52" s="4" t="inlineStr">
        <is>
          <t>IP telefon Grandstream GXP1625</t>
        </is>
      </c>
      <c r="C52" s="5" t="inlineStr"/>
      <c r="D52" s="5" t="n">
        <v>829382</v>
      </c>
      <c r="E52" s="5" t="n">
        <v>740520</v>
      </c>
      <c r="F52" s="5" t="inlineStr"/>
      <c r="G52" s="5" t="inlineStr">
        <is>
          <t>Grandstream</t>
        </is>
      </c>
      <c r="H52" s="5">
        <f>HYPERLINK("https://itrix.uz/product/981", "🔗 Mahsulot sotib olish")</f>
        <v/>
      </c>
      <c r="I52" t="inlineStr">
        <is>
          <t>6-981-870</t>
        </is>
      </c>
    </row>
    <row r="53" ht="30" customHeight="1">
      <c r="A53" s="4" t="inlineStr">
        <is>
          <t>IP-Telefonlar</t>
        </is>
      </c>
      <c r="B53" s="4" t="inlineStr">
        <is>
          <t>IP videotelefon Grandstream GXV3470</t>
        </is>
      </c>
      <c r="C53" s="5" t="inlineStr"/>
      <c r="D53" s="5" t="n">
        <v>6830208</v>
      </c>
      <c r="E53" s="5" t="n">
        <v>6098400</v>
      </c>
      <c r="F53" s="5" t="inlineStr"/>
      <c r="G53" s="5" t="inlineStr">
        <is>
          <t>Grandstream</t>
        </is>
      </c>
      <c r="H53" s="5">
        <f>HYPERLINK("https://itrix.uz/product/984", "🔗 Mahsulot sotib olish")</f>
        <v/>
      </c>
      <c r="I53" t="inlineStr">
        <is>
          <t>6-984-873</t>
        </is>
      </c>
    </row>
    <row r="54" ht="30" customHeight="1">
      <c r="A54" s="4" t="inlineStr">
        <is>
          <t>IP-Telefonlar</t>
        </is>
      </c>
      <c r="B54" s="4" t="inlineStr">
        <is>
          <t>IP video telefon Grandstream GXV3480</t>
        </is>
      </c>
      <c r="C54" s="5" t="inlineStr"/>
      <c r="D54" s="5" t="n">
        <v>8179987</v>
      </c>
      <c r="E54" s="5" t="n">
        <v>7303560</v>
      </c>
      <c r="F54" s="5" t="inlineStr"/>
      <c r="G54" s="5" t="inlineStr">
        <is>
          <t>Grandstream</t>
        </is>
      </c>
      <c r="H54" s="5">
        <f>HYPERLINK("https://itrix.uz/product/985", "🔗 Mahsulot sotib olish")</f>
        <v/>
      </c>
      <c r="I54" t="inlineStr">
        <is>
          <t>6-985-874</t>
        </is>
      </c>
    </row>
    <row r="55" ht="30" customHeight="1">
      <c r="A55" s="4" t="inlineStr">
        <is>
          <t>IP-ATS</t>
        </is>
      </c>
      <c r="B55" s="4" t="inlineStr">
        <is>
          <t>IP ATC Grandstream UCM6300A</t>
        </is>
      </c>
      <c r="C55" s="5" t="inlineStr"/>
      <c r="D55" s="5" t="n">
        <v>3626515</v>
      </c>
      <c r="E55" s="5" t="n">
        <v>3237960</v>
      </c>
      <c r="F55" s="5" t="inlineStr"/>
      <c r="G55" s="5" t="inlineStr">
        <is>
          <t>Grandstream</t>
        </is>
      </c>
      <c r="H55" s="5">
        <f>HYPERLINK("https://itrix.uz/product/987", "🔗 Mahsulot sotib olish")</f>
        <v/>
      </c>
      <c r="I55" t="inlineStr">
        <is>
          <t>6-987-876</t>
        </is>
      </c>
    </row>
    <row r="56" ht="30" customHeight="1">
      <c r="A56" s="4" t="inlineStr">
        <is>
          <t>IP-ATS</t>
        </is>
      </c>
      <c r="B56" s="4" t="inlineStr">
        <is>
          <t>VoIP оvoz shlyuzi Grandstream GXW-4248</t>
        </is>
      </c>
      <c r="C56" s="5" t="inlineStr"/>
      <c r="D56" s="5" t="n">
        <v>20929709</v>
      </c>
      <c r="E56" s="5" t="n">
        <v>18687240</v>
      </c>
      <c r="F56" s="5" t="inlineStr"/>
      <c r="G56" s="5" t="inlineStr">
        <is>
          <t>Grandstream</t>
        </is>
      </c>
      <c r="H56" s="5">
        <f>HYPERLINK("https://itrix.uz/product/986", "🔗 Mahsulot sotib olish")</f>
        <v/>
      </c>
      <c r="I56" t="inlineStr">
        <is>
          <t>6-986-875</t>
        </is>
      </c>
    </row>
    <row r="57" ht="30" customHeight="1">
      <c r="A57" s="4" t="inlineStr">
        <is>
          <t>IP-Telefonlar</t>
        </is>
      </c>
      <c r="B57" s="4" t="inlineStr">
        <is>
          <t>DECT telefon Grandstream DP720</t>
        </is>
      </c>
      <c r="C57" s="5" t="inlineStr"/>
      <c r="D57" s="5" t="n">
        <v>1138368</v>
      </c>
      <c r="E57" s="5" t="n">
        <v>1016400</v>
      </c>
      <c r="F57" s="5" t="inlineStr"/>
      <c r="G57" s="5" t="inlineStr">
        <is>
          <t>Grandstream</t>
        </is>
      </c>
      <c r="H57" s="5">
        <f>HYPERLINK("https://itrix.uz/product/907", "🔗 Mahsulot sotib olish")</f>
        <v/>
      </c>
      <c r="I57" t="inlineStr">
        <is>
          <t>6-907-797</t>
        </is>
      </c>
    </row>
    <row r="58" ht="30" customHeight="1">
      <c r="A58" s="4" t="inlineStr">
        <is>
          <t>IP-ATS</t>
        </is>
      </c>
      <c r="B58" s="4" t="inlineStr">
        <is>
          <t>IP ATS Grandstream UCM6302A</t>
        </is>
      </c>
      <c r="C58" s="5" t="inlineStr"/>
      <c r="D58" s="5" t="n">
        <v>8179987</v>
      </c>
      <c r="E58" s="5" t="n">
        <v>7303560</v>
      </c>
      <c r="F58" s="5" t="inlineStr"/>
      <c r="G58" s="5" t="inlineStr">
        <is>
          <t>Grandstream</t>
        </is>
      </c>
      <c r="H58" s="5">
        <f>HYPERLINK("https://itrix.uz/product/989", "🔗 Mahsulot sotib olish")</f>
        <v/>
      </c>
      <c r="I58" t="inlineStr">
        <is>
          <t>6-989-878</t>
        </is>
      </c>
    </row>
    <row r="59" ht="30" customHeight="1">
      <c r="A59" s="4" t="inlineStr">
        <is>
          <t>IP-Telefonlar</t>
        </is>
      </c>
      <c r="B59" s="4" t="inlineStr">
        <is>
          <t>DECT telefoni Grandstream DP725 DECT Handset</t>
        </is>
      </c>
      <c r="C59" s="5" t="inlineStr"/>
      <c r="D59" s="5" t="n">
        <v>1124816</v>
      </c>
      <c r="E59" s="5" t="n">
        <v>1004300</v>
      </c>
      <c r="F59" s="5" t="inlineStr"/>
      <c r="G59" s="5" t="inlineStr">
        <is>
          <t>Grandstream</t>
        </is>
      </c>
      <c r="H59" s="5">
        <f>HYPERLINK("https://itrix.uz/product/908", "🔗 Mahsulot sotib olish")</f>
        <v/>
      </c>
      <c r="I59" t="inlineStr">
        <is>
          <t>6-908-798</t>
        </is>
      </c>
    </row>
    <row r="60" ht="30" customHeight="1">
      <c r="A60" s="4" t="inlineStr">
        <is>
          <t>IP-Telefonlar</t>
        </is>
      </c>
      <c r="B60" s="4" t="inlineStr">
        <is>
          <t>Grandstream DP755 DECT VoIP baza stansiyasi</t>
        </is>
      </c>
      <c r="C60" s="5" t="inlineStr"/>
      <c r="D60" s="5" t="n">
        <v>1008269</v>
      </c>
      <c r="E60" s="5" t="n">
        <v>900240</v>
      </c>
      <c r="F60" s="5" t="inlineStr"/>
      <c r="G60" s="5" t="inlineStr">
        <is>
          <t>Grandstream</t>
        </is>
      </c>
      <c r="H60" s="5">
        <f>HYPERLINK("https://itrix.uz/product/910", "🔗 Mahsulot sotib olish")</f>
        <v/>
      </c>
      <c r="I60" t="inlineStr">
        <is>
          <t>6-910-800</t>
        </is>
      </c>
    </row>
    <row r="61" ht="30" customHeight="1">
      <c r="A61" s="4" t="inlineStr">
        <is>
          <t>IP-Telefonlar</t>
        </is>
      </c>
      <c r="B61" s="4" t="inlineStr">
        <is>
          <t>IP-telefon Grandstream GHP611</t>
        </is>
      </c>
      <c r="C61" s="5" t="inlineStr"/>
      <c r="D61" s="5" t="n">
        <v>715546</v>
      </c>
      <c r="E61" s="5" t="n">
        <v>638880</v>
      </c>
      <c r="F61" s="5" t="inlineStr"/>
      <c r="G61" s="5" t="inlineStr">
        <is>
          <t>Grandstream</t>
        </is>
      </c>
      <c r="H61" s="5">
        <f>HYPERLINK("https://itrix.uz/product/917", "🔗 Mahsulot sotib olish")</f>
        <v/>
      </c>
      <c r="I61" t="inlineStr">
        <is>
          <t>6-917-807</t>
        </is>
      </c>
    </row>
    <row r="62" ht="30" customHeight="1">
      <c r="A62" s="4" t="inlineStr">
        <is>
          <t>IP-Telefonlar</t>
        </is>
      </c>
      <c r="B62" s="4" t="inlineStr">
        <is>
          <t>IP-telefon Grandstream GHP620</t>
        </is>
      </c>
      <c r="C62" s="5" t="inlineStr"/>
      <c r="D62" s="5" t="n">
        <v>780595</v>
      </c>
      <c r="E62" s="5" t="n">
        <v>696960</v>
      </c>
      <c r="F62" s="5" t="inlineStr"/>
      <c r="G62" s="5" t="inlineStr">
        <is>
          <t>Grandstream</t>
        </is>
      </c>
      <c r="H62" s="5">
        <f>HYPERLINK("https://itrix.uz/product/918", "🔗 Mahsulot sotib olish")</f>
        <v/>
      </c>
      <c r="I62" t="inlineStr">
        <is>
          <t>6-918-808</t>
        </is>
      </c>
    </row>
    <row r="63" ht="30" customHeight="1">
      <c r="A63" s="4" t="inlineStr">
        <is>
          <t>IP-Telefonlar</t>
        </is>
      </c>
      <c r="B63" s="4" t="inlineStr">
        <is>
          <t>IP-telefon Grandstream GHP621</t>
        </is>
      </c>
      <c r="C63" s="5" t="inlineStr"/>
      <c r="D63" s="5" t="n">
        <v>780595</v>
      </c>
      <c r="E63" s="5" t="n">
        <v>696960</v>
      </c>
      <c r="F63" s="5" t="inlineStr"/>
      <c r="G63" s="5" t="inlineStr">
        <is>
          <t>Grandstream</t>
        </is>
      </c>
      <c r="H63" s="5">
        <f>HYPERLINK("https://itrix.uz/product/919", "🔗 Mahsulot sotib olish")</f>
        <v/>
      </c>
      <c r="I63" t="inlineStr">
        <is>
          <t>6-919-809</t>
        </is>
      </c>
    </row>
    <row r="64" ht="30" customHeight="1">
      <c r="A64" s="4" t="inlineStr">
        <is>
          <t>IP-Telefonlar</t>
        </is>
      </c>
      <c r="B64" s="4" t="inlineStr">
        <is>
          <t>IP-telefon Grandstream GHP621W</t>
        </is>
      </c>
      <c r="C64" s="5" t="inlineStr"/>
      <c r="D64" s="5" t="n">
        <v>1187155</v>
      </c>
      <c r="E64" s="5" t="n">
        <v>1059960</v>
      </c>
      <c r="F64" s="5" t="inlineStr"/>
      <c r="G64" s="5" t="inlineStr">
        <is>
          <t>Grandstream</t>
        </is>
      </c>
      <c r="H64" s="5">
        <f>HYPERLINK("https://itrix.uz/product/920", "🔗 Mahsulot sotib olish")</f>
        <v/>
      </c>
      <c r="I64" t="inlineStr">
        <is>
          <t>6-920-810</t>
        </is>
      </c>
    </row>
    <row r="65" ht="30" customHeight="1">
      <c r="A65" s="4" t="inlineStr">
        <is>
          <t>IP-Telefonlar</t>
        </is>
      </c>
      <c r="B65" s="4" t="inlineStr">
        <is>
          <t>IP-telefon Grandstream GHP630</t>
        </is>
      </c>
      <c r="C65" s="5" t="inlineStr"/>
      <c r="D65" s="5" t="n">
        <v>1187155</v>
      </c>
      <c r="E65" s="5" t="n">
        <v>1059960</v>
      </c>
      <c r="F65" s="5" t="inlineStr"/>
      <c r="G65" s="5" t="inlineStr">
        <is>
          <t>Grandstream</t>
        </is>
      </c>
      <c r="H65" s="5">
        <f>HYPERLINK("https://itrix.uz/product/921", "🔗 Mahsulot sotib olish")</f>
        <v/>
      </c>
      <c r="I65" t="inlineStr">
        <is>
          <t>6-921-811</t>
        </is>
      </c>
    </row>
    <row r="66" ht="30" customHeight="1">
      <c r="A66" s="4" t="inlineStr">
        <is>
          <t>IP-Telefonlar</t>
        </is>
      </c>
      <c r="B66" s="4" t="inlineStr">
        <is>
          <t xml:space="preserve">IP-telefon Grandstream GHP631 </t>
        </is>
      </c>
      <c r="C66" s="5" t="inlineStr"/>
      <c r="D66" s="5" t="n">
        <v>1187155</v>
      </c>
      <c r="E66" s="5" t="n">
        <v>1059960</v>
      </c>
      <c r="F66" s="5" t="inlineStr"/>
      <c r="G66" s="5" t="inlineStr">
        <is>
          <t>Grandstream</t>
        </is>
      </c>
      <c r="H66" s="5">
        <f>HYPERLINK("https://itrix.uz/product/922", "🔗 Mahsulot sotib olish")</f>
        <v/>
      </c>
      <c r="I66" t="inlineStr">
        <is>
          <t>6-922-812</t>
        </is>
      </c>
    </row>
    <row r="67" ht="30" customHeight="1">
      <c r="A67" s="4" t="inlineStr">
        <is>
          <t>IP-Telefonlar</t>
        </is>
      </c>
      <c r="B67" s="4" t="inlineStr">
        <is>
          <t>IP telefon Grandstream GRP2601W</t>
        </is>
      </c>
      <c r="C67" s="5" t="inlineStr"/>
      <c r="D67" s="5" t="n">
        <v>829382</v>
      </c>
      <c r="E67" s="5" t="n">
        <v>740520</v>
      </c>
      <c r="F67" s="5" t="inlineStr"/>
      <c r="G67" s="5" t="inlineStr">
        <is>
          <t>Grandstream</t>
        </is>
      </c>
      <c r="H67" s="5">
        <f>HYPERLINK("https://itrix.uz/product/925", "🔗 Mahsulot sotib olish")</f>
        <v/>
      </c>
      <c r="I67" t="inlineStr">
        <is>
          <t>6-925-815</t>
        </is>
      </c>
    </row>
    <row r="68" ht="30" customHeight="1">
      <c r="A68" s="4" t="inlineStr">
        <is>
          <t>IP-Telefonlar</t>
        </is>
      </c>
      <c r="B68" s="4" t="inlineStr">
        <is>
          <t xml:space="preserve"> IP telefon Yealink SIP-T43U</t>
        </is>
      </c>
      <c r="C68" s="5" t="inlineStr"/>
      <c r="D68" s="5" t="n">
        <v>1856624</v>
      </c>
      <c r="E68" s="5" t="n">
        <v>1657700</v>
      </c>
      <c r="F68" s="5" t="inlineStr"/>
      <c r="G68" s="5" t="inlineStr">
        <is>
          <t>Yealink</t>
        </is>
      </c>
      <c r="H68" s="5">
        <f>HYPERLINK("https://itrix.uz/product/321", "🔗 Mahsulot sotib olish")</f>
        <v/>
      </c>
      <c r="I68" t="inlineStr">
        <is>
          <t>6-321-323</t>
        </is>
      </c>
    </row>
    <row r="69" ht="30" customHeight="1">
      <c r="A69" s="4" t="inlineStr">
        <is>
          <t>IP-Telefonlar</t>
        </is>
      </c>
      <c r="B69" s="4" t="inlineStr">
        <is>
          <t>Grandstream DP752 DECT baza stansiyasi</t>
        </is>
      </c>
      <c r="C69" s="5" t="inlineStr"/>
      <c r="D69" s="5" t="n">
        <v>1089581</v>
      </c>
      <c r="E69" s="5" t="n">
        <v>972840</v>
      </c>
      <c r="F69" s="5" t="inlineStr"/>
      <c r="G69" s="5" t="inlineStr">
        <is>
          <t>Grandstream</t>
        </is>
      </c>
      <c r="H69" s="5">
        <f>HYPERLINK("https://itrix.uz/product/21", "🔗 Mahsulot sotib olish")</f>
        <v/>
      </c>
      <c r="I69" t="inlineStr">
        <is>
          <t>6-21-20</t>
        </is>
      </c>
    </row>
    <row r="70" ht="30" customHeight="1">
      <c r="A70" s="4" t="inlineStr">
        <is>
          <t>IP-Telefonlar</t>
        </is>
      </c>
      <c r="B70" s="4" t="inlineStr">
        <is>
          <t>Grandstream GXP2200EXT kengaytirish moduli</t>
        </is>
      </c>
      <c r="C70" s="5" t="inlineStr"/>
      <c r="D70" s="5" t="n">
        <v>2276736</v>
      </c>
      <c r="E70" s="5" t="n">
        <v>2032800</v>
      </c>
      <c r="F70" s="5" t="inlineStr"/>
      <c r="G70" s="5" t="inlineStr">
        <is>
          <t>Grandstream</t>
        </is>
      </c>
      <c r="H70" s="5">
        <f>HYPERLINK("https://itrix.uz/product/982", "🔗 Mahsulot sotib olish")</f>
        <v/>
      </c>
      <c r="I70" t="inlineStr">
        <is>
          <t>6-982-871</t>
        </is>
      </c>
    </row>
    <row r="71" ht="30" customHeight="1">
      <c r="A71" s="4" t="inlineStr">
        <is>
          <t>IP uskunalari</t>
        </is>
      </c>
      <c r="B71" s="4" t="inlineStr">
        <is>
          <t>Cisco CP-8800-V-KEM tugmali kengaytirish moduli</t>
        </is>
      </c>
      <c r="C71" s="5" t="inlineStr"/>
      <c r="D71" s="5" t="n">
        <v>11448730</v>
      </c>
      <c r="E71" s="5" t="n">
        <v>10222080</v>
      </c>
      <c r="F71" s="5" t="inlineStr"/>
      <c r="G71" s="5" t="inlineStr">
        <is>
          <t>Cisco</t>
        </is>
      </c>
      <c r="H71" s="5">
        <f>HYPERLINK("https://itrix.uz/product/1159", "🔗 Mahsulot sotib olish")</f>
        <v/>
      </c>
      <c r="I71" t="inlineStr">
        <is>
          <t>6-1159-890</t>
        </is>
      </c>
    </row>
    <row r="72" ht="30" customHeight="1">
      <c r="A72" s="4" t="inlineStr">
        <is>
          <t>IP-ATS</t>
        </is>
      </c>
      <c r="B72" s="4" t="inlineStr">
        <is>
          <t>IP ATS Grandstream UCM6308A – ofis telefon tizimi uchun zamonaviy yechim</t>
        </is>
      </c>
      <c r="C72" s="5" t="inlineStr"/>
      <c r="D72" s="5" t="n">
        <v>22751098</v>
      </c>
      <c r="E72" s="5" t="n">
        <v>20313480</v>
      </c>
      <c r="F72" s="5" t="inlineStr"/>
      <c r="G72" s="5" t="inlineStr">
        <is>
          <t>Grandstream</t>
        </is>
      </c>
      <c r="H72" s="5">
        <f>HYPERLINK("https://itrix.uz/product/1275", "🔗 Mahsulot sotib olish")</f>
        <v/>
      </c>
      <c r="I72" t="inlineStr">
        <is>
          <t>6-1275-986</t>
        </is>
      </c>
    </row>
    <row r="73" ht="30" customHeight="1">
      <c r="A73" s="4" t="inlineStr">
        <is>
          <t>IP-Telefonlar</t>
        </is>
      </c>
      <c r="B73" s="4" t="inlineStr">
        <is>
          <t>IP telefon Cisco DP-9841-K9=</t>
        </is>
      </c>
      <c r="C73" s="5" t="inlineStr"/>
      <c r="D73" s="5" t="n">
        <v>6651322</v>
      </c>
      <c r="E73" s="5" t="n">
        <v>5938680</v>
      </c>
      <c r="F73" s="5" t="inlineStr"/>
      <c r="G73" s="5" t="inlineStr">
        <is>
          <t>Cisco</t>
        </is>
      </c>
      <c r="H73" s="5">
        <f>HYPERLINK("https://itrix.uz/product/1174", "🔗 Mahsulot sotib olish")</f>
        <v/>
      </c>
      <c r="I73" t="inlineStr">
        <is>
          <t>6-1174-904</t>
        </is>
      </c>
    </row>
    <row r="74" ht="30" customHeight="1">
      <c r="A74" s="4" t="inlineStr">
        <is>
          <t>IP uskunalari</t>
        </is>
      </c>
      <c r="B74" s="4" t="inlineStr">
        <is>
          <t>Jabra Speak2 55 UC Speakerfoni</t>
        </is>
      </c>
      <c r="C74" s="5" t="inlineStr"/>
      <c r="D74" s="5" t="n">
        <v>2748346</v>
      </c>
      <c r="E74" s="5" t="n">
        <v>2453880</v>
      </c>
      <c r="F74" s="5" t="inlineStr"/>
      <c r="G74" s="5" t="inlineStr">
        <is>
          <t>JABRA</t>
        </is>
      </c>
      <c r="H74" s="5">
        <f>HYPERLINK("https://itrix.uz/product/1209", "🔗 Mahsulot sotib olish")</f>
        <v/>
      </c>
      <c r="I74" t="inlineStr">
        <is>
          <t>6-1209-939</t>
        </is>
      </c>
    </row>
    <row r="75" ht="30" customHeight="1">
      <c r="A75" s="4" t="inlineStr">
        <is>
          <t>IP uskunalari</t>
        </is>
      </c>
      <c r="B75" s="4" t="inlineStr">
        <is>
          <t>Jabra PanaCast 50 EMEA Black video kamera</t>
        </is>
      </c>
      <c r="C75" s="5" t="inlineStr"/>
      <c r="D75" s="5" t="n">
        <v>25174195</v>
      </c>
      <c r="E75" s="5" t="n">
        <v>22476960</v>
      </c>
      <c r="F75" s="5" t="inlineStr"/>
      <c r="G75" s="5" t="inlineStr">
        <is>
          <t>JABRA</t>
        </is>
      </c>
      <c r="H75" s="5">
        <f>HYPERLINK("https://itrix.uz/product/1202", "🔗 Mahsulot sotib olish")</f>
        <v/>
      </c>
      <c r="I75" t="inlineStr">
        <is>
          <t>6-1202-932</t>
        </is>
      </c>
    </row>
    <row r="76" ht="30" customHeight="1">
      <c r="A76" s="4" t="inlineStr">
        <is>
          <t>IP uskunalari</t>
        </is>
      </c>
      <c r="B76" s="4" t="inlineStr">
        <is>
          <t>IP shlyuz Grandstream GXW4216</t>
        </is>
      </c>
      <c r="C76" s="5" t="inlineStr"/>
      <c r="D76" s="5" t="n">
        <v>9743888</v>
      </c>
      <c r="E76" s="5" t="n">
        <v>8699900</v>
      </c>
      <c r="F76" s="5" t="inlineStr"/>
      <c r="G76" s="5" t="inlineStr">
        <is>
          <t>Grandstream</t>
        </is>
      </c>
      <c r="H76" s="5">
        <f>HYPERLINK("https://itrix.uz/product/1272", "🔗 Mahsulot sotib olish")</f>
        <v/>
      </c>
      <c r="I76" t="inlineStr">
        <is>
          <t>6-1272-983</t>
        </is>
      </c>
    </row>
    <row r="77" ht="30" customHeight="1">
      <c r="A77" s="4" t="inlineStr">
        <is>
          <t>IP uskunalari</t>
        </is>
      </c>
      <c r="B77" s="4" t="inlineStr">
        <is>
          <t xml:space="preserve">Jabra Speak 710 MS professional konferensiya speakerfoni </t>
        </is>
      </c>
      <c r="C77" s="5" t="inlineStr"/>
      <c r="D77" s="5" t="n">
        <v>5171443</v>
      </c>
      <c r="E77" s="5" t="n">
        <v>4617360</v>
      </c>
      <c r="F77" s="5" t="inlineStr"/>
      <c r="G77" s="5" t="inlineStr">
        <is>
          <t>JABRA</t>
        </is>
      </c>
      <c r="H77" s="5">
        <f>HYPERLINK("https://itrix.uz/product/1207", "🔗 Mahsulot sotib olish")</f>
        <v/>
      </c>
      <c r="I77" t="inlineStr">
        <is>
          <t>6-1207-937</t>
        </is>
      </c>
    </row>
    <row r="78" ht="30" customHeight="1">
      <c r="A78" s="4" t="inlineStr">
        <is>
          <t>IP uskunalari</t>
        </is>
      </c>
      <c r="B78" s="4" t="inlineStr">
        <is>
          <t>Jabra SPEAK2 55 MS Teams professional konferens spikerfoni</t>
        </is>
      </c>
      <c r="C78" s="5" t="inlineStr"/>
      <c r="D78" s="5" t="n">
        <v>2748346</v>
      </c>
      <c r="E78" s="5" t="n">
        <v>2453880</v>
      </c>
      <c r="F78" s="5" t="inlineStr"/>
      <c r="G78" s="5" t="inlineStr">
        <is>
          <t>JABRA</t>
        </is>
      </c>
      <c r="H78" s="5">
        <f>HYPERLINK("https://itrix.uz/product/1208", "🔗 Mahsulot sotib olish")</f>
        <v/>
      </c>
      <c r="I78" t="inlineStr">
        <is>
          <t>6-1208-938</t>
        </is>
      </c>
    </row>
    <row r="79" ht="30" customHeight="1">
      <c r="A79" s="4" t="inlineStr">
        <is>
          <t>IP-Telefonlar</t>
        </is>
      </c>
      <c r="B79" s="4" t="inlineStr">
        <is>
          <t>IP telefon Grandstream GHP610</t>
        </is>
      </c>
      <c r="C79" s="5" t="inlineStr"/>
      <c r="D79" s="5" t="n">
        <v>718256</v>
      </c>
      <c r="E79" s="5" t="n">
        <v>641300</v>
      </c>
      <c r="F79" s="5" t="inlineStr"/>
      <c r="G79" s="5" t="inlineStr">
        <is>
          <t>Grandstream</t>
        </is>
      </c>
      <c r="H79" s="5">
        <f>HYPERLINK("https://itrix.uz/product/1236", "🔗 Mahsulot sotib olish")</f>
        <v/>
      </c>
      <c r="I79" t="inlineStr">
        <is>
          <t>6-1236-947</t>
        </is>
      </c>
    </row>
    <row r="80" ht="30" customHeight="1">
      <c r="A80" s="4" t="inlineStr">
        <is>
          <t>IP-Telefonlar</t>
        </is>
      </c>
      <c r="B80" s="4" t="inlineStr">
        <is>
          <t>Grandstream GRP2613 IP telefoni</t>
        </is>
      </c>
      <c r="C80" s="5" t="inlineStr"/>
      <c r="D80" s="5" t="n">
        <v>1544928</v>
      </c>
      <c r="E80" s="5" t="n">
        <v>1379400</v>
      </c>
      <c r="F80" s="5" t="inlineStr"/>
      <c r="G80" s="5" t="inlineStr">
        <is>
          <t>Grandstream</t>
        </is>
      </c>
      <c r="H80" s="5">
        <f>HYPERLINK("https://itrix.uz/product/1239", "🔗 Mahsulot sotib olish")</f>
        <v/>
      </c>
      <c r="I80" t="inlineStr">
        <is>
          <t>6-1239-950</t>
        </is>
      </c>
    </row>
    <row r="81" ht="30" customHeight="1">
      <c r="A81" s="4" t="inlineStr">
        <is>
          <t>IP-Telefonlar</t>
        </is>
      </c>
      <c r="B81" s="4" t="inlineStr">
        <is>
          <t>Grandstream GRP2614 IP telefoni</t>
        </is>
      </c>
      <c r="C81" s="5" t="inlineStr"/>
      <c r="D81" s="5" t="n">
        <v>2845920</v>
      </c>
      <c r="E81" s="5" t="n">
        <v>2541000</v>
      </c>
      <c r="F81" s="5" t="inlineStr"/>
      <c r="G81" s="5" t="inlineStr">
        <is>
          <t>Grandstream</t>
        </is>
      </c>
      <c r="H81" s="5">
        <f>HYPERLINK("https://itrix.uz/product/1240", "🔗 Mahsulot sotib olish")</f>
        <v/>
      </c>
      <c r="I81" t="inlineStr">
        <is>
          <t>6-1240-951</t>
        </is>
      </c>
    </row>
    <row r="82" ht="30" customHeight="1">
      <c r="A82" s="4" t="inlineStr">
        <is>
          <t>IP-ATS</t>
        </is>
      </c>
      <c r="B82" s="4" t="inlineStr">
        <is>
          <t>IP ATS Grandstream UCM6304 — 2000 foydalanuvchigacha mo‘ljallangan VoIP platforma</t>
        </is>
      </c>
      <c r="C82" s="5" t="inlineStr"/>
      <c r="D82" s="5" t="n">
        <v>21778064</v>
      </c>
      <c r="E82" s="5" t="n">
        <v>19444700</v>
      </c>
      <c r="F82" s="5" t="inlineStr"/>
      <c r="G82" s="5" t="inlineStr">
        <is>
          <t>Grandstream</t>
        </is>
      </c>
      <c r="H82" s="5">
        <f>HYPERLINK("https://itrix.uz/product/1274", "🔗 Mahsulot sotib olish")</f>
        <v/>
      </c>
      <c r="I82" t="inlineStr">
        <is>
          <t>6-1274-985</t>
        </is>
      </c>
    </row>
    <row r="83" ht="30" customHeight="1">
      <c r="A83" s="4" t="inlineStr">
        <is>
          <t>IP-Telefonlar</t>
        </is>
      </c>
      <c r="B83" s="4" t="inlineStr">
        <is>
          <t>IP telefoni Grandstream GRP2634</t>
        </is>
      </c>
      <c r="C83" s="5" t="inlineStr"/>
      <c r="D83" s="5" t="n">
        <v>2097850</v>
      </c>
      <c r="E83" s="5" t="n">
        <v>1873080</v>
      </c>
      <c r="F83" s="5" t="inlineStr"/>
      <c r="G83" s="5" t="inlineStr">
        <is>
          <t>Grandstream</t>
        </is>
      </c>
      <c r="H83" s="5">
        <f>HYPERLINK("https://itrix.uz/product/1241", "🔗 Mahsulot sotib olish")</f>
        <v/>
      </c>
      <c r="I83" t="inlineStr">
        <is>
          <t>6-1241-952</t>
        </is>
      </c>
    </row>
    <row r="84" ht="30" customHeight="1">
      <c r="A84" s="4" t="inlineStr">
        <is>
          <t>IP uskunalari</t>
        </is>
      </c>
      <c r="B84" s="4" t="inlineStr">
        <is>
          <t>Cisco CS-BAR-T-K9 videokonferensiya tizimi</t>
        </is>
      </c>
      <c r="C84" s="5" t="inlineStr"/>
      <c r="D84" s="5" t="n">
        <v>111072192</v>
      </c>
      <c r="E84" s="5" t="n">
        <v>99171600</v>
      </c>
      <c r="F84" s="5" t="inlineStr"/>
      <c r="G84" s="5" t="inlineStr">
        <is>
          <t>Cisco</t>
        </is>
      </c>
      <c r="H84" s="5">
        <f>HYPERLINK("https://itrix.uz/product/1251", "🔗 Mahsulot sotib olish")</f>
        <v/>
      </c>
      <c r="I84" t="inlineStr">
        <is>
          <t>6-1251-962</t>
        </is>
      </c>
    </row>
    <row r="85" ht="30" customHeight="1">
      <c r="A85" s="4" t="inlineStr">
        <is>
          <t>IP-Telefonlar</t>
        </is>
      </c>
      <c r="B85" s="4" t="inlineStr">
        <is>
          <t>Cisco DP-9851-K9 IP-telefon</t>
        </is>
      </c>
      <c r="C85" s="5" t="inlineStr"/>
      <c r="D85" s="5" t="n">
        <v>8348032</v>
      </c>
      <c r="E85" s="5" t="n">
        <v>7453600</v>
      </c>
      <c r="F85" s="5" t="inlineStr"/>
      <c r="G85" s="5" t="inlineStr">
        <is>
          <t>Cisco</t>
        </is>
      </c>
      <c r="H85" s="5">
        <f>HYPERLINK("https://itrix.uz/product/1255", "🔗 Mahsulot sotib olish")</f>
        <v/>
      </c>
      <c r="I85" t="inlineStr">
        <is>
          <t>6-1255-966</t>
        </is>
      </c>
    </row>
    <row r="86" ht="30" customHeight="1">
      <c r="A86" s="4" t="inlineStr">
        <is>
          <t>IP-Telefonlar</t>
        </is>
      </c>
      <c r="B86" s="4" t="inlineStr">
        <is>
          <t>Grandstream GXP2140 IP telefoni</t>
        </is>
      </c>
      <c r="C86" s="5" t="inlineStr"/>
      <c r="D86" s="5" t="n">
        <v>2260474</v>
      </c>
      <c r="E86" s="5" t="n">
        <v>2018280</v>
      </c>
      <c r="F86" s="5" t="inlineStr"/>
      <c r="G86" s="5" t="inlineStr">
        <is>
          <t>Grandstream</t>
        </is>
      </c>
      <c r="H86" s="5">
        <f>HYPERLINK("https://itrix.uz/product/1271", "🔗 Mahsulot sotib olish")</f>
        <v/>
      </c>
      <c r="I86" t="inlineStr">
        <is>
          <t>6-1271-982</t>
        </is>
      </c>
    </row>
    <row r="87" ht="30" customHeight="1">
      <c r="A87" s="4" t="inlineStr">
        <is>
          <t>IP-Telefonlar</t>
        </is>
      </c>
      <c r="B87" s="4" t="inlineStr">
        <is>
          <t>Ubiquiti UniFi G3 Touch Enterprise IP-telefoni</t>
        </is>
      </c>
      <c r="C87" s="5" t="inlineStr"/>
      <c r="D87" s="5" t="n">
        <v>5998251</v>
      </c>
      <c r="E87" s="5" t="n">
        <v>5355581</v>
      </c>
      <c r="F87" s="5" t="n">
        <v>4943697</v>
      </c>
      <c r="G87" s="5" t="inlineStr">
        <is>
          <t>UniFi UBIQUITI</t>
        </is>
      </c>
      <c r="H87" s="5">
        <f>HYPERLINK("https://itrix.uz/product/1439", "🔗 Mahsulot sotib olish")</f>
        <v/>
      </c>
      <c r="I87" t="inlineStr">
        <is>
          <t>6-1439-1139</t>
        </is>
      </c>
    </row>
    <row r="88" ht="30" customHeight="1">
      <c r="A88" s="4" t="inlineStr">
        <is>
          <t>IP uskunalari</t>
        </is>
      </c>
      <c r="B88" s="4" t="inlineStr">
        <is>
          <t>Ubiquiti UniFi G5 Pro IP-kamerasi (UVC-G5-Pro)</t>
        </is>
      </c>
      <c r="C88" s="5" t="inlineStr"/>
      <c r="D88" s="5" t="n">
        <v>6502385</v>
      </c>
      <c r="E88" s="5" t="n">
        <v>5805701</v>
      </c>
      <c r="F88" s="5" t="n">
        <v>5359090</v>
      </c>
      <c r="G88" s="5" t="inlineStr">
        <is>
          <t>UniFi UBIQUITI</t>
        </is>
      </c>
      <c r="H88" s="5">
        <f>HYPERLINK("https://itrix.uz/product/1449", "🔗 Mahsulot sotib olish")</f>
        <v/>
      </c>
      <c r="I88" t="inlineStr">
        <is>
          <t>6-1449-1149</t>
        </is>
      </c>
    </row>
    <row r="89" ht="30" customHeight="1">
      <c r="A89" s="4" t="inlineStr">
        <is>
          <t>IP-Telefonlar</t>
        </is>
      </c>
      <c r="B89" s="4" t="inlineStr">
        <is>
          <t>IP telefon Grandstream GRP2601P</t>
        </is>
      </c>
      <c r="C89" s="5" t="inlineStr">
        <is>
          <t>Kafolat 1 oy</t>
        </is>
      </c>
      <c r="D89" s="5" t="n">
        <v>731808</v>
      </c>
      <c r="E89" s="5" t="n">
        <v>653400</v>
      </c>
      <c r="F89" s="5" t="inlineStr"/>
      <c r="G89" s="5" t="inlineStr">
        <is>
          <t>Grandstream</t>
        </is>
      </c>
      <c r="H89" s="5">
        <f>HYPERLINK("https://itrix.uz/product/10", "🔗 Mahsulot sotib olish")</f>
        <v/>
      </c>
      <c r="I89" t="inlineStr">
        <is>
          <t>6-10-265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tabColor rgb="005FC32A"/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cols>
    <col width="30" customWidth="1" min="1" max="1"/>
    <col width="100" customWidth="1" min="2" max="2"/>
    <col width="30" customWidth="1" min="3" max="3"/>
    <col width="20" customWidth="1" min="4" max="4"/>
    <col width="20" customWidth="1" min="5" max="5"/>
    <col width="20" customWidth="1" min="6" max="6"/>
    <col width="25" customWidth="1" min="7" max="7"/>
    <col width="20" customWidth="1" min="8" max="8"/>
  </cols>
  <sheetData>
    <row r="1" ht="30" customHeight="1">
      <c r="A1" s="1" t="inlineStr">
        <is>
          <t>Kategoriya</t>
        </is>
      </c>
      <c r="B1" s="1" t="inlineStr">
        <is>
          <t>Mahsulot nomi</t>
        </is>
      </c>
      <c r="C1" s="2" t="inlineStr">
        <is>
          <t>Kafolat</t>
        </is>
      </c>
      <c r="D1" s="2" t="inlineStr">
        <is>
          <t>QQS bilan narxi</t>
        </is>
      </c>
      <c r="E1" s="2" t="inlineStr">
        <is>
          <t>QQSsiz narxi</t>
        </is>
      </c>
      <c r="F1" s="2" t="inlineStr">
        <is>
          <t>5 dona dan</t>
        </is>
      </c>
      <c r="G1" s="2" t="inlineStr">
        <is>
          <t>Brend</t>
        </is>
      </c>
      <c r="H1" s="2" t="inlineStr">
        <is>
          <t>Saytda</t>
        </is>
      </c>
      <c r="I1" s="3" t="inlineStr">
        <is>
          <t>SKU</t>
        </is>
      </c>
    </row>
    <row r="2" ht="30" customHeight="1">
      <c r="A2" s="4" t="inlineStr">
        <is>
          <t>Faervollar</t>
        </is>
      </c>
      <c r="B2" s="4" t="inlineStr">
        <is>
          <t xml:space="preserve"> Fortinet FortiGate 61F tarmoq xavfsizlik devori</t>
        </is>
      </c>
      <c r="C2" s="5" t="inlineStr"/>
      <c r="D2" s="5" t="n">
        <v>10777635</v>
      </c>
      <c r="E2" s="5" t="n">
        <v>9622888</v>
      </c>
      <c r="F2" s="5" t="n">
        <v>7849875</v>
      </c>
      <c r="G2" s="5" t="inlineStr">
        <is>
          <t>Fortinet</t>
        </is>
      </c>
      <c r="H2" s="5">
        <f>HYPERLINK("https://itrix.uz/product/509", "🔗 Mahsulot sotib olish")</f>
        <v/>
      </c>
      <c r="I2" t="inlineStr">
        <is>
          <t>5-509-487</t>
        </is>
      </c>
    </row>
    <row r="3" ht="30" customHeight="1">
      <c r="A3" s="4" t="inlineStr">
        <is>
          <t>Faervollar</t>
        </is>
      </c>
      <c r="B3" s="4" t="inlineStr">
        <is>
          <t>Zyxel ZyWALL USG FLEX 500 tarmoq xavfsizlik devori — korxona darajasidagi UTM himoya yechimi</t>
        </is>
      </c>
      <c r="C3" s="5" t="inlineStr"/>
      <c r="D3" s="5" t="n">
        <v>32145344</v>
      </c>
      <c r="E3" s="5" t="n">
        <v>28701200</v>
      </c>
      <c r="F3" s="5" t="inlineStr"/>
      <c r="G3" s="5" t="inlineStr">
        <is>
          <t>Zyxel</t>
        </is>
      </c>
      <c r="H3" s="5">
        <f>HYPERLINK("https://itrix.uz/product/228", "🔗 Mahsulot sotib olish")</f>
        <v/>
      </c>
      <c r="I3" t="inlineStr">
        <is>
          <t>5-228-230</t>
        </is>
      </c>
    </row>
    <row r="4">
      <c r="A4" s="4" t="inlineStr">
        <is>
          <t>Faervollar</t>
        </is>
      </c>
      <c r="B4" s="4" t="inlineStr">
        <is>
          <t>Zyxel ZyWALL USG FLEX 700 tarmoq xavfsizlik devori — yirik korxonalar uchun ilg‘or UTM xavfsizlik tizimi</t>
        </is>
      </c>
      <c r="C4" s="5" t="inlineStr"/>
      <c r="D4" s="5" t="n">
        <v>43759408</v>
      </c>
      <c r="E4" s="5" t="n">
        <v>39070900</v>
      </c>
      <c r="F4" s="5" t="inlineStr"/>
      <c r="G4" s="5" t="inlineStr">
        <is>
          <t>Zyxel</t>
        </is>
      </c>
      <c r="H4" s="5">
        <f>HYPERLINK("https://itrix.uz/product/229", "🔗 Mahsulot sotib olish")</f>
        <v/>
      </c>
      <c r="I4" t="inlineStr">
        <is>
          <t>5-229-231</t>
        </is>
      </c>
    </row>
    <row r="5" ht="30" customHeight="1">
      <c r="A5" s="4" t="inlineStr">
        <is>
          <t>Faervollar</t>
        </is>
      </c>
      <c r="B5" s="4" t="inlineStr">
        <is>
          <t>Fortinet FortiGate 80F tarmoq xavfsizlik devori</t>
        </is>
      </c>
      <c r="C5" s="5" t="inlineStr"/>
      <c r="D5" s="5" t="n">
        <v>19365808</v>
      </c>
      <c r="E5" s="5" t="n">
        <v>17290900</v>
      </c>
      <c r="F5" s="5" t="inlineStr"/>
      <c r="G5" s="5" t="inlineStr">
        <is>
          <t>Fortinet</t>
        </is>
      </c>
      <c r="H5" s="5">
        <f>HYPERLINK("https://itrix.uz/product/510", "🔗 Mahsulot sotib olish")</f>
        <v/>
      </c>
      <c r="I5" t="inlineStr">
        <is>
          <t>5-510-488</t>
        </is>
      </c>
    </row>
    <row r="6">
      <c r="A6" s="4" t="inlineStr">
        <is>
          <t>Faervollar</t>
        </is>
      </c>
      <c r="B6" s="4" t="inlineStr">
        <is>
          <t>Zyxel ZyWALL ATP800 tarmoq xavfsizlik devori — sun’iy intellektli ilg‘or tahdidlarga qarshi himoya (ATP) tizimi</t>
        </is>
      </c>
      <c r="C6" s="5" t="inlineStr"/>
      <c r="D6" s="5" t="n">
        <v>84943936</v>
      </c>
      <c r="E6" s="5" t="n">
        <v>75842800</v>
      </c>
      <c r="F6" s="5" t="inlineStr"/>
      <c r="G6" s="5" t="inlineStr">
        <is>
          <t>Zyxel</t>
        </is>
      </c>
      <c r="H6" s="5">
        <f>HYPERLINK("https://itrix.uz/product/231", "🔗 Mahsulot sotib olish")</f>
        <v/>
      </c>
      <c r="I6" t="inlineStr">
        <is>
          <t>5-231-233</t>
        </is>
      </c>
    </row>
    <row r="7" ht="30" customHeight="1">
      <c r="A7" s="4" t="inlineStr">
        <is>
          <t>Faervollar</t>
        </is>
      </c>
      <c r="B7" s="4" t="inlineStr">
        <is>
          <t>FortiGate 1800F (FG-1800F) korporativ xavfsizlik devori</t>
        </is>
      </c>
      <c r="C7" s="5" t="inlineStr"/>
      <c r="D7" s="5" t="n">
        <v>528528000</v>
      </c>
      <c r="E7" s="5" t="n">
        <v>471900000</v>
      </c>
      <c r="F7" s="5" t="inlineStr"/>
      <c r="G7" s="5" t="inlineStr">
        <is>
          <t>Fortinet</t>
        </is>
      </c>
      <c r="H7" s="5">
        <f>HYPERLINK("https://itrix.uz/product/610", "🔗 Mahsulot sotib olish")</f>
        <v/>
      </c>
      <c r="I7" t="inlineStr">
        <is>
          <t>5-610-564</t>
        </is>
      </c>
    </row>
    <row r="8" ht="30" customHeight="1">
      <c r="A8" s="4" t="inlineStr">
        <is>
          <t>Faervollar</t>
        </is>
      </c>
      <c r="B8" s="4" t="inlineStr">
        <is>
          <t xml:space="preserve"> Fortinet FortiGate 100F tarmoqlararo ekran</t>
        </is>
      </c>
      <c r="C8" s="5" t="inlineStr"/>
      <c r="D8" s="5" t="n">
        <v>34146839</v>
      </c>
      <c r="E8" s="5" t="n">
        <v>30488249</v>
      </c>
      <c r="F8" s="5" t="n">
        <v>23443750</v>
      </c>
      <c r="G8" s="5" t="inlineStr">
        <is>
          <t>Fortinet</t>
        </is>
      </c>
      <c r="H8" s="5">
        <f>HYPERLINK("https://itrix.uz/product/365", "🔗 Mahsulot sotib olish")</f>
        <v/>
      </c>
      <c r="I8" t="inlineStr">
        <is>
          <t>5-365-370</t>
        </is>
      </c>
    </row>
    <row r="9">
      <c r="A9" s="4" t="inlineStr">
        <is>
          <t>Faervollar</t>
        </is>
      </c>
      <c r="B9" s="4" t="inlineStr">
        <is>
          <t>Zyxel ZyWALL Zyxel ZyWALL ATP700 tarmoq xavfsizlik devori — sun’iy intellekt asosidagi ilg‘or tahdidlarga qarshi himoya tizimi</t>
        </is>
      </c>
      <c r="C9" s="5" t="inlineStr"/>
      <c r="D9" s="5" t="n">
        <v>57921248</v>
      </c>
      <c r="E9" s="5" t="n">
        <v>51715400</v>
      </c>
      <c r="F9" s="5" t="inlineStr"/>
      <c r="G9" s="5" t="inlineStr">
        <is>
          <t>Zyxel</t>
        </is>
      </c>
      <c r="H9" s="5">
        <f>HYPERLINK("https://itrix.uz/product/230", "🔗 Mahsulot sotib olish")</f>
        <v/>
      </c>
      <c r="I9" t="inlineStr">
        <is>
          <t>5-230-232</t>
        </is>
      </c>
    </row>
    <row r="10" ht="30" customHeight="1">
      <c r="A10" s="4" t="inlineStr">
        <is>
          <t>Faervollar</t>
        </is>
      </c>
      <c r="B10" s="4" t="inlineStr">
        <is>
          <t xml:space="preserve"> Fortinet FortiGate 40F tarmoqlararo ekran</t>
        </is>
      </c>
      <c r="C10" s="5" t="inlineStr"/>
      <c r="D10" s="5" t="n">
        <v>6082409</v>
      </c>
      <c r="E10" s="5" t="n">
        <v>5430722</v>
      </c>
      <c r="F10" s="5" t="n">
        <v>4325750</v>
      </c>
      <c r="G10" s="5" t="inlineStr">
        <is>
          <t>Fortinet</t>
        </is>
      </c>
      <c r="H10" s="5">
        <f>HYPERLINK("https://itrix.uz/product/363", "🔗 Mahsulot sotib olish")</f>
        <v/>
      </c>
      <c r="I10" t="inlineStr">
        <is>
          <t>5-363-368</t>
        </is>
      </c>
    </row>
    <row r="11" ht="30" customHeight="1">
      <c r="A11" s="4" t="inlineStr">
        <is>
          <t>Faervollar</t>
        </is>
      </c>
      <c r="B11" s="4" t="inlineStr">
        <is>
          <t xml:space="preserve"> Fortinet FortiGate 60F tarmoqlararo ekran</t>
        </is>
      </c>
      <c r="C11" s="5" t="inlineStr"/>
      <c r="D11" s="5" t="n">
        <v>7268480</v>
      </c>
      <c r="E11" s="5" t="n">
        <v>6489714</v>
      </c>
      <c r="F11" s="5" t="n">
        <v>6065125</v>
      </c>
      <c r="G11" s="5" t="inlineStr">
        <is>
          <t>Fortinet</t>
        </is>
      </c>
      <c r="H11" s="5">
        <f>HYPERLINK("https://itrix.uz/product/364", "🔗 Mahsulot sotib olish")</f>
        <v/>
      </c>
      <c r="I11" t="inlineStr">
        <is>
          <t>5-364-369</t>
        </is>
      </c>
    </row>
    <row r="12" ht="30" customHeight="1">
      <c r="A12" s="4" t="inlineStr">
        <is>
          <t>Faervollar</t>
        </is>
      </c>
      <c r="B12" s="4" t="inlineStr">
        <is>
          <t>Zyxel ZyWALL VPN2S tarmoq xavfsizlik devori — VPN funksiyasiga ega xavfsizlik qurilmasi</t>
        </is>
      </c>
      <c r="C12" s="5" t="inlineStr"/>
      <c r="D12" s="5" t="n">
        <v>2547776</v>
      </c>
      <c r="E12" s="5" t="n">
        <v>2274800</v>
      </c>
      <c r="F12" s="5" t="inlineStr"/>
      <c r="G12" s="5" t="inlineStr">
        <is>
          <t>Zyxel</t>
        </is>
      </c>
      <c r="H12" s="5">
        <f>HYPERLINK("https://itrix.uz/product/226", "🔗 Mahsulot sotib olish")</f>
        <v/>
      </c>
      <c r="I12" t="inlineStr">
        <is>
          <t>5-226-228</t>
        </is>
      </c>
    </row>
    <row r="13" ht="30" customHeight="1">
      <c r="A13" s="4" t="inlineStr">
        <is>
          <t>Faervollar</t>
        </is>
      </c>
      <c r="B13" s="4" t="inlineStr">
        <is>
          <t>Zyxel ZyWALL USG FLEX 100 tarmoq xavfsizlik devori — ilg‘or UTM funksiyali xavfsizlik yechimi</t>
        </is>
      </c>
      <c r="C13" s="5" t="inlineStr"/>
      <c r="D13" s="5" t="n">
        <v>15164688</v>
      </c>
      <c r="E13" s="5" t="n">
        <v>13539900</v>
      </c>
      <c r="F13" s="5" t="inlineStr"/>
      <c r="G13" s="5" t="inlineStr">
        <is>
          <t>Zyxel</t>
        </is>
      </c>
      <c r="H13" s="5">
        <f>HYPERLINK("https://itrix.uz/product/227", "🔗 Mahsulot sotib olish")</f>
        <v/>
      </c>
      <c r="I13" t="inlineStr">
        <is>
          <t>5-227-229</t>
        </is>
      </c>
    </row>
    <row r="14" ht="30" customHeight="1">
      <c r="A14" s="4" t="inlineStr">
        <is>
          <t>Faervollar</t>
        </is>
      </c>
      <c r="B14" s="4" t="inlineStr">
        <is>
          <t>Cisco FPR1140-NGFW-K9 tarmoqlararo ekrani</t>
        </is>
      </c>
      <c r="C14" s="5" t="inlineStr"/>
      <c r="D14" s="5" t="n">
        <v>155644720</v>
      </c>
      <c r="E14" s="5" t="n">
        <v>138968500</v>
      </c>
      <c r="F14" s="5" t="inlineStr"/>
      <c r="G14" s="5" t="inlineStr">
        <is>
          <t>Cisco</t>
        </is>
      </c>
      <c r="H14" s="5">
        <f>HYPERLINK("https://itrix.uz/product/1257", "🔗 Mahsulot sotib olish")</f>
        <v/>
      </c>
      <c r="I14" t="inlineStr">
        <is>
          <t>5-1257-968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tabColor rgb="002E0AFC"/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cols>
    <col width="30" customWidth="1" min="1" max="1"/>
    <col width="100" customWidth="1" min="2" max="2"/>
    <col width="30" customWidth="1" min="3" max="3"/>
    <col width="20" customWidth="1" min="4" max="4"/>
    <col width="20" customWidth="1" min="5" max="5"/>
    <col width="20" customWidth="1" min="6" max="6"/>
    <col width="25" customWidth="1" min="7" max="7"/>
    <col width="20" customWidth="1" min="8" max="8"/>
  </cols>
  <sheetData>
    <row r="1" ht="30" customHeight="1">
      <c r="A1" s="6" t="n"/>
      <c r="B1" s="6" t="n"/>
      <c r="C1" s="5" t="n"/>
      <c r="D1" s="5" t="n"/>
      <c r="E1" s="5" t="n"/>
      <c r="F1" s="5" t="n"/>
      <c r="G1" s="5" t="n"/>
      <c r="H1" s="5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D4778F"/>
    <outlinePr summaryBelow="1" summaryRight="1"/>
    <pageSetUpPr/>
  </sheetPr>
  <dimension ref="A1:I255"/>
  <sheetViews>
    <sheetView workbookViewId="0">
      <selection activeCell="A1" sqref="A1"/>
    </sheetView>
  </sheetViews>
  <sheetFormatPr baseColWidth="8" defaultRowHeight="15"/>
  <cols>
    <col width="30" customWidth="1" min="1" max="1"/>
    <col width="100" customWidth="1" min="2" max="2"/>
    <col width="30" customWidth="1" min="3" max="3"/>
    <col width="20" customWidth="1" min="4" max="4"/>
    <col width="20" customWidth="1" min="5" max="5"/>
    <col width="20" customWidth="1" min="6" max="6"/>
    <col width="25" customWidth="1" min="7" max="7"/>
    <col width="20" customWidth="1" min="8" max="8"/>
  </cols>
  <sheetData>
    <row r="1" ht="30" customHeight="1">
      <c r="A1" s="1" t="inlineStr">
        <is>
          <t>Kategoriya</t>
        </is>
      </c>
      <c r="B1" s="1" t="inlineStr">
        <is>
          <t>Mahsulot nomi</t>
        </is>
      </c>
      <c r="C1" s="2" t="inlineStr">
        <is>
          <t>Kafolat</t>
        </is>
      </c>
      <c r="D1" s="2" t="inlineStr">
        <is>
          <t>QQS bilan narxi</t>
        </is>
      </c>
      <c r="E1" s="2" t="inlineStr">
        <is>
          <t>QQSsiz narxi</t>
        </is>
      </c>
      <c r="F1" s="2" t="inlineStr">
        <is>
          <t>5 dona dan</t>
        </is>
      </c>
      <c r="G1" s="2" t="inlineStr">
        <is>
          <t>Brend</t>
        </is>
      </c>
      <c r="H1" s="2" t="inlineStr">
        <is>
          <t>Saytda</t>
        </is>
      </c>
      <c r="I1" s="3" t="inlineStr">
        <is>
          <t>SKU</t>
        </is>
      </c>
    </row>
    <row r="2" ht="30" customHeight="1">
      <c r="A2" s="4" t="inlineStr">
        <is>
          <t>RAID-kontroller</t>
        </is>
      </c>
      <c r="B2" s="4" t="inlineStr">
        <is>
          <t>HPE Smart Array S100i SR Gen10 SW RAID dasturiy RAID nazoratchisi</t>
        </is>
      </c>
      <c r="C2" s="5" t="inlineStr"/>
      <c r="D2" s="5" t="n">
        <v>1802416</v>
      </c>
      <c r="E2" s="5" t="n">
        <v>1609300</v>
      </c>
      <c r="F2" s="5" t="inlineStr"/>
      <c r="G2" s="5" t="inlineStr">
        <is>
          <t>HPE</t>
        </is>
      </c>
      <c r="H2" s="5">
        <f>HYPERLINK("https://itrix.uz/product/144", "🔗 Mahsulot sotib olish")</f>
        <v/>
      </c>
      <c r="I2" t="inlineStr">
        <is>
          <t>2-144-150</t>
        </is>
      </c>
    </row>
    <row r="3" ht="30" customHeight="1">
      <c r="A3" s="4" t="inlineStr">
        <is>
          <t>SSD qattiq disklari</t>
        </is>
      </c>
      <c r="B3" s="4" t="inlineStr">
        <is>
          <t>HPE 1.6TB / SAS / MU / SSD</t>
        </is>
      </c>
      <c r="C3" s="5" t="inlineStr"/>
      <c r="D3" s="5" t="n">
        <v>7182560</v>
      </c>
      <c r="E3" s="5" t="n">
        <v>6413000</v>
      </c>
      <c r="F3" s="5" t="inlineStr"/>
      <c r="G3" s="5" t="inlineStr">
        <is>
          <t>HPE</t>
        </is>
      </c>
      <c r="H3" s="5">
        <f>HYPERLINK("https://itrix.uz/product/62", "🔗 Mahsulot sotib olish")</f>
        <v/>
      </c>
      <c r="I3" t="inlineStr">
        <is>
          <t>2-62-68</t>
        </is>
      </c>
    </row>
    <row r="4" ht="30" customHeight="1">
      <c r="A4" s="4" t="inlineStr">
        <is>
          <t>Aksessuarlar</t>
        </is>
      </c>
      <c r="B4" s="4" t="inlineStr">
        <is>
          <t xml:space="preserve"> Tarmoq adapteri P25960-B21 Mellanox MCX623106AS-CDAT 100Gb 2-portli QSFP56</t>
        </is>
      </c>
      <c r="C4" s="5" t="inlineStr"/>
      <c r="D4" s="5" t="n">
        <v>10136896</v>
      </c>
      <c r="E4" s="5" t="n">
        <v>9050800</v>
      </c>
      <c r="F4" s="5" t="inlineStr"/>
      <c r="G4" s="5" t="inlineStr"/>
      <c r="H4" s="5">
        <f>HYPERLINK("https://itrix.uz/product/523", "🔗 Mahsulot sotib olish")</f>
        <v/>
      </c>
      <c r="I4" t="inlineStr">
        <is>
          <t>2-523-497</t>
        </is>
      </c>
    </row>
    <row r="5" ht="30" customHeight="1">
      <c r="A5" s="4" t="inlineStr">
        <is>
          <t>SSD qattiq disklari</t>
        </is>
      </c>
      <c r="B5" s="4" t="inlineStr">
        <is>
          <t>HPE 960GB / SAS / MU / SSD</t>
        </is>
      </c>
      <c r="C5" s="5" t="inlineStr"/>
      <c r="D5" s="5" t="n">
        <v>9784544</v>
      </c>
      <c r="E5" s="5" t="n">
        <v>8736200</v>
      </c>
      <c r="F5" s="5" t="inlineStr"/>
      <c r="G5" s="5" t="inlineStr">
        <is>
          <t>HPE</t>
        </is>
      </c>
      <c r="H5" s="5">
        <f>HYPERLINK("https://itrix.uz/product/63", "🔗 Mahsulot sotib olish")</f>
        <v/>
      </c>
      <c r="I5" t="inlineStr">
        <is>
          <t>2-63-69</t>
        </is>
      </c>
    </row>
    <row r="6" ht="30" customHeight="1">
      <c r="A6" s="4" t="inlineStr">
        <is>
          <t>SSD qattiq disklari</t>
        </is>
      </c>
      <c r="B6" s="4" t="inlineStr">
        <is>
          <t>HPE 1.92TB / SATA / RI / SSD</t>
        </is>
      </c>
      <c r="C6" s="5" t="inlineStr"/>
      <c r="D6" s="5" t="n">
        <v>15652560</v>
      </c>
      <c r="E6" s="5" t="n">
        <v>13975500</v>
      </c>
      <c r="F6" s="5" t="inlineStr"/>
      <c r="G6" s="5" t="inlineStr">
        <is>
          <t>HPE</t>
        </is>
      </c>
      <c r="H6" s="5">
        <f>HYPERLINK("https://itrix.uz/product/64", "🔗 Mahsulot sotib olish")</f>
        <v/>
      </c>
      <c r="I6" t="inlineStr">
        <is>
          <t>2-64-70</t>
        </is>
      </c>
    </row>
    <row r="7" ht="30" customHeight="1">
      <c r="A7" s="4" t="inlineStr">
        <is>
          <t>RAID-kontroller</t>
        </is>
      </c>
      <c r="B7" s="4" t="inlineStr">
        <is>
          <t>HPE MR408i-o Gen11 RAID-kontrolleri, 4GB kesh, x8 liniya, OCP/SPDM, akkumulyator bilan</t>
        </is>
      </c>
      <c r="C7" s="5" t="inlineStr"/>
      <c r="D7" s="5" t="n">
        <v>9256016</v>
      </c>
      <c r="E7" s="5" t="n">
        <v>8264300</v>
      </c>
      <c r="F7" s="5" t="inlineStr"/>
      <c r="G7" s="5" t="inlineStr">
        <is>
          <t>HPE</t>
        </is>
      </c>
      <c r="H7" s="5">
        <f>HYPERLINK("https://itrix.uz/product/527", "🔗 Mahsulot sotib olish")</f>
        <v/>
      </c>
      <c r="I7" t="inlineStr">
        <is>
          <t>2-527-501</t>
        </is>
      </c>
    </row>
    <row r="8" ht="30" customHeight="1">
      <c r="A8" s="4" t="inlineStr">
        <is>
          <t>Quvvat ta'minoti</t>
        </is>
      </c>
      <c r="B8" s="4" t="inlineStr">
        <is>
          <t>Dell Power Supply 1400W Hot Plug G15 G16 quvvat bloki</t>
        </is>
      </c>
      <c r="C8" s="5" t="inlineStr"/>
      <c r="D8" s="5" t="n">
        <v>4160464</v>
      </c>
      <c r="E8" s="5" t="n">
        <v>3714700</v>
      </c>
      <c r="F8" s="5" t="inlineStr"/>
      <c r="G8" s="5" t="inlineStr">
        <is>
          <t>Dell</t>
        </is>
      </c>
      <c r="H8" s="5">
        <f>HYPERLINK("https://itrix.uz/product/159", "🔗 Mahsulot sotib olish")</f>
        <v/>
      </c>
      <c r="I8" t="inlineStr">
        <is>
          <t>2-159-367</t>
        </is>
      </c>
    </row>
    <row r="9" ht="30" customHeight="1">
      <c r="A9" s="4" t="inlineStr">
        <is>
          <t>SSD qattiq disklari</t>
        </is>
      </c>
      <c r="B9" s="4" t="inlineStr">
        <is>
          <t>HPE 1.92TB / SAS / MU / SSD</t>
        </is>
      </c>
      <c r="C9" s="5" t="inlineStr"/>
      <c r="D9" s="5" t="n">
        <v>17604048</v>
      </c>
      <c r="E9" s="5" t="n">
        <v>15717900</v>
      </c>
      <c r="F9" s="5" t="inlineStr"/>
      <c r="G9" s="5" t="inlineStr">
        <is>
          <t>HPE</t>
        </is>
      </c>
      <c r="H9" s="5">
        <f>HYPERLINK("https://itrix.uz/product/65", "🔗 Mahsulot sotib olish")</f>
        <v/>
      </c>
      <c r="I9" t="inlineStr">
        <is>
          <t>2-65-71</t>
        </is>
      </c>
    </row>
    <row r="10" ht="30" customHeight="1">
      <c r="A10" s="4" t="inlineStr">
        <is>
          <t>Aksessuarlar</t>
        </is>
      </c>
      <c r="B10" s="4" t="inlineStr">
        <is>
          <t>HPE SN1100Q 16Gb 2-port FC HBA adapteri</t>
        </is>
      </c>
      <c r="C10" s="5" t="inlineStr"/>
      <c r="D10" s="5" t="n">
        <v>9134048</v>
      </c>
      <c r="E10" s="5" t="n">
        <v>8155400</v>
      </c>
      <c r="F10" s="5" t="inlineStr"/>
      <c r="G10" s="5" t="inlineStr">
        <is>
          <t>HPE</t>
        </is>
      </c>
      <c r="H10" s="5">
        <f>HYPERLINK("https://itrix.uz/product/103", "🔗 Mahsulot sotib olish")</f>
        <v/>
      </c>
      <c r="I10" t="inlineStr">
        <is>
          <t>2-103-366</t>
        </is>
      </c>
    </row>
    <row r="11" ht="30" customHeight="1">
      <c r="A11" s="4" t="inlineStr">
        <is>
          <t>Aksessuarlar</t>
        </is>
      </c>
      <c r="B11" s="4" t="inlineStr">
        <is>
          <t>Synology RKS-02 ray g‘ildiraklari to‘plami</t>
        </is>
      </c>
      <c r="C11" s="5" t="inlineStr"/>
      <c r="D11" s="5" t="n">
        <v>3455760</v>
      </c>
      <c r="E11" s="5" t="n">
        <v>3085500</v>
      </c>
      <c r="F11" s="5" t="inlineStr"/>
      <c r="G11" s="5" t="inlineStr">
        <is>
          <t>Synology</t>
        </is>
      </c>
      <c r="H11" s="5">
        <f>HYPERLINK("https://itrix.uz/product/278", "🔗 Mahsulot sotib olish")</f>
        <v/>
      </c>
      <c r="I11" t="inlineStr">
        <is>
          <t>2-278-280</t>
        </is>
      </c>
    </row>
    <row r="12" ht="30" customHeight="1">
      <c r="A12" s="4" t="inlineStr">
        <is>
          <t>SSD qattiq disklari</t>
        </is>
      </c>
      <c r="B12" s="4" t="inlineStr">
        <is>
          <t>DELL 1.92TB / SAS / MU / SSD</t>
        </is>
      </c>
      <c r="C12" s="5" t="inlineStr"/>
      <c r="D12" s="5" t="n">
        <v>16953552</v>
      </c>
      <c r="E12" s="5" t="n">
        <v>15137100</v>
      </c>
      <c r="F12" s="5" t="inlineStr"/>
      <c r="G12" s="5" t="inlineStr">
        <is>
          <t>Dell</t>
        </is>
      </c>
      <c r="H12" s="5">
        <f>HYPERLINK("https://itrix.uz/product/66", "🔗 Mahsulot sotib olish")</f>
        <v/>
      </c>
      <c r="I12" t="inlineStr">
        <is>
          <t>2-66-72</t>
        </is>
      </c>
    </row>
    <row r="13" ht="30" customHeight="1">
      <c r="A13" s="4" t="inlineStr">
        <is>
          <t>Aksessuarlar</t>
        </is>
      </c>
      <c r="B13" s="4" t="inlineStr">
        <is>
          <t>HPE 530SFP+ 10Gb 2-port PCIe Adapter tarmoqli kartasi</t>
        </is>
      </c>
      <c r="C13" s="5" t="inlineStr"/>
      <c r="D13" s="5" t="n">
        <v>3713248</v>
      </c>
      <c r="E13" s="5" t="n">
        <v>3315400</v>
      </c>
      <c r="F13" s="5" t="inlineStr"/>
      <c r="G13" s="5" t="inlineStr">
        <is>
          <t>HPE</t>
        </is>
      </c>
      <c r="H13" s="5">
        <f>HYPERLINK("https://itrix.uz/product/101", "🔗 Mahsulot sotib olish")</f>
        <v/>
      </c>
      <c r="I13" t="inlineStr">
        <is>
          <t>2-101-107</t>
        </is>
      </c>
    </row>
    <row r="14" ht="30" customHeight="1">
      <c r="A14" s="4" t="inlineStr">
        <is>
          <t>Tezkor xotira (RAM)</t>
        </is>
      </c>
      <c r="B14" s="4" t="inlineStr">
        <is>
          <t>HPE 32GB DDR4-2933 operativ xotira</t>
        </is>
      </c>
      <c r="C14" s="5" t="inlineStr"/>
      <c r="D14" s="5" t="n">
        <v>2412256</v>
      </c>
      <c r="E14" s="5" t="n">
        <v>2153800</v>
      </c>
      <c r="F14" s="5" t="inlineStr"/>
      <c r="G14" s="5" t="inlineStr">
        <is>
          <t>HPE</t>
        </is>
      </c>
      <c r="H14" s="5">
        <f>HYPERLINK("https://itrix.uz/product/91", "🔗 Mahsulot sotib olish")</f>
        <v/>
      </c>
      <c r="I14" t="inlineStr">
        <is>
          <t>2-91-97</t>
        </is>
      </c>
    </row>
    <row r="15" ht="30" customHeight="1">
      <c r="A15" s="4" t="inlineStr">
        <is>
          <t>SSD qattiq disklari</t>
        </is>
      </c>
      <c r="B15" s="4" t="inlineStr">
        <is>
          <t>Intel 2TB DC P4510 Series / NVMe / RI / SAS / SSD</t>
        </is>
      </c>
      <c r="C15" s="5" t="inlineStr"/>
      <c r="D15" s="5" t="n">
        <v>5868016</v>
      </c>
      <c r="E15" s="5" t="n">
        <v>5239300</v>
      </c>
      <c r="F15" s="5" t="inlineStr"/>
      <c r="G15" s="5" t="inlineStr">
        <is>
          <t>Intel</t>
        </is>
      </c>
      <c r="H15" s="5">
        <f>HYPERLINK("https://itrix.uz/product/67", "🔗 Mahsulot sotib olish")</f>
        <v/>
      </c>
      <c r="I15" t="inlineStr">
        <is>
          <t>2-67-73</t>
        </is>
      </c>
    </row>
    <row r="16" ht="30" customHeight="1">
      <c r="A16" s="4" t="inlineStr">
        <is>
          <t>HDD qattiq disklari</t>
        </is>
      </c>
      <c r="B16" s="4" t="inlineStr">
        <is>
          <t>HPE 1.2TB SAS 10000 rpm (2.5", SFF) qattiq diski</t>
        </is>
      </c>
      <c r="C16" s="5" t="inlineStr"/>
      <c r="D16" s="5" t="n">
        <v>3266032</v>
      </c>
      <c r="E16" s="5" t="n">
        <v>2916100</v>
      </c>
      <c r="F16" s="5" t="inlineStr"/>
      <c r="G16" s="5" t="inlineStr">
        <is>
          <t>HPE</t>
        </is>
      </c>
      <c r="H16" s="5">
        <f>HYPERLINK("https://itrix.uz/product/52", "🔗 Mahsulot sotib olish")</f>
        <v/>
      </c>
      <c r="I16" t="inlineStr">
        <is>
          <t>2-52-58</t>
        </is>
      </c>
    </row>
    <row r="17" ht="30" customHeight="1">
      <c r="A17" s="4" t="inlineStr">
        <is>
          <t>Aksessuarlar</t>
        </is>
      </c>
      <c r="B17" s="4" t="inlineStr">
        <is>
          <t>HPE 5m OM4 Fiber Channel Optic Cable Enterprise</t>
        </is>
      </c>
      <c r="C17" s="5" t="inlineStr"/>
      <c r="D17" s="5" t="n">
        <v>1951488</v>
      </c>
      <c r="E17" s="5" t="n">
        <v>1742400</v>
      </c>
      <c r="F17" s="5" t="inlineStr"/>
      <c r="G17" s="5" t="inlineStr">
        <is>
          <t>HPE</t>
        </is>
      </c>
      <c r="H17" s="5">
        <f>HYPERLINK("https://itrix.uz/product/107", "🔗 Mahsulot sotib olish")</f>
        <v/>
      </c>
      <c r="I17" t="inlineStr">
        <is>
          <t>2-107-113</t>
        </is>
      </c>
    </row>
    <row r="18" ht="30" customHeight="1">
      <c r="A18" s="4" t="inlineStr">
        <is>
          <t>Aksessuarlar</t>
        </is>
      </c>
      <c r="B18" s="4" t="inlineStr">
        <is>
          <t>HPE DL360 p/e G8 Fan sovitish ventilyatori</t>
        </is>
      </c>
      <c r="C18" s="5" t="inlineStr"/>
      <c r="D18" s="5" t="n">
        <v>393008</v>
      </c>
      <c r="E18" s="5" t="n">
        <v>350900</v>
      </c>
      <c r="F18" s="5" t="inlineStr"/>
      <c r="G18" s="5" t="inlineStr">
        <is>
          <t>HPE</t>
        </is>
      </c>
      <c r="H18" s="5">
        <f>HYPERLINK("https://itrix.uz/product/114", "🔗 Mahsulot sotib olish")</f>
        <v/>
      </c>
      <c r="I18" t="inlineStr">
        <is>
          <t>2-114-120</t>
        </is>
      </c>
    </row>
    <row r="19" ht="30" customHeight="1">
      <c r="A19" s="4" t="inlineStr">
        <is>
          <t>SSD qattiq disklari</t>
        </is>
      </c>
      <c r="B19" s="4" t="inlineStr">
        <is>
          <t>HPE 3.2TB SAS MU SSD xotira qurilmasi</t>
        </is>
      </c>
      <c r="C19" s="5" t="inlineStr"/>
      <c r="D19" s="5" t="n">
        <v>18254544</v>
      </c>
      <c r="E19" s="5" t="n">
        <v>16298700</v>
      </c>
      <c r="F19" s="5" t="inlineStr"/>
      <c r="G19" s="5" t="inlineStr">
        <is>
          <t>HPE</t>
        </is>
      </c>
      <c r="H19" s="5">
        <f>HYPERLINK("https://itrix.uz/product/74", "🔗 Mahsulot sotib olish")</f>
        <v/>
      </c>
      <c r="I19" t="inlineStr">
        <is>
          <t>2-74-80</t>
        </is>
      </c>
    </row>
    <row r="20" ht="30" customHeight="1">
      <c r="A20" s="4" t="inlineStr">
        <is>
          <t>Aksessuarlar</t>
        </is>
      </c>
      <c r="B20" s="4" t="inlineStr">
        <is>
          <t>HPE DL38X Gen10 Plus x8/x16/x8 Secondary Riser Kit kengaytiruvchi karta</t>
        </is>
      </c>
      <c r="C20" s="5" t="inlineStr"/>
      <c r="D20" s="5" t="n">
        <v>3266032</v>
      </c>
      <c r="E20" s="5" t="n">
        <v>2916100</v>
      </c>
      <c r="F20" s="5" t="inlineStr"/>
      <c r="G20" s="5" t="inlineStr">
        <is>
          <t>HPE</t>
        </is>
      </c>
      <c r="H20" s="5">
        <f>HYPERLINK("https://itrix.uz/product/116", "🔗 Mahsulot sotib olish")</f>
        <v/>
      </c>
      <c r="I20" t="inlineStr">
        <is>
          <t>2-116-122</t>
        </is>
      </c>
    </row>
    <row r="21" ht="30" customHeight="1">
      <c r="A21" s="4" t="inlineStr">
        <is>
          <t>SSD qattiq disklari</t>
        </is>
      </c>
      <c r="B21" s="4" t="inlineStr">
        <is>
          <t>SAMSUNG 3.84TB PM1643a / SAS / MU / SSD</t>
        </is>
      </c>
      <c r="C21" s="5" t="inlineStr"/>
      <c r="D21" s="5" t="n">
        <v>16384368</v>
      </c>
      <c r="E21" s="5" t="n">
        <v>14628900</v>
      </c>
      <c r="F21" s="5" t="inlineStr"/>
      <c r="G21" s="5" t="inlineStr">
        <is>
          <t>Samsung</t>
        </is>
      </c>
      <c r="H21" s="5">
        <f>HYPERLINK("https://itrix.uz/product/68", "🔗 Mahsulot sotib olish")</f>
        <v/>
      </c>
      <c r="I21" t="inlineStr">
        <is>
          <t>2-68-74</t>
        </is>
      </c>
    </row>
    <row r="22" ht="30" customHeight="1">
      <c r="A22" s="4" t="inlineStr">
        <is>
          <t>Aksessuarlar</t>
        </is>
      </c>
      <c r="B22" s="4" t="inlineStr">
        <is>
          <t>HPE 32Gb Fibre Channel 2-portli HBA moslama (SN1610Q)</t>
        </is>
      </c>
      <c r="C22" s="5" t="inlineStr"/>
      <c r="D22" s="5" t="n">
        <v>5827360</v>
      </c>
      <c r="E22" s="5" t="n">
        <v>5203000</v>
      </c>
      <c r="F22" s="5" t="inlineStr"/>
      <c r="G22" s="5" t="inlineStr">
        <is>
          <t>HPE</t>
        </is>
      </c>
      <c r="H22" s="5">
        <f>HYPERLINK("https://itrix.uz/product/130", "🔗 Mahsulot sotib olish")</f>
        <v/>
      </c>
      <c r="I22" t="inlineStr">
        <is>
          <t>2-130-136</t>
        </is>
      </c>
    </row>
    <row r="23" ht="30" customHeight="1">
      <c r="A23" s="4" t="inlineStr">
        <is>
          <t>Aksessuarlar</t>
        </is>
      </c>
      <c r="B23" s="4" t="inlineStr">
        <is>
          <t>HPE Broadcom BCM57412 Ethernet 10Gb 2-port SFP+ tarmoq adapteri</t>
        </is>
      </c>
      <c r="C23" s="5" t="inlineStr"/>
      <c r="D23" s="5" t="n">
        <v>3916528</v>
      </c>
      <c r="E23" s="5" t="n">
        <v>3496900</v>
      </c>
      <c r="F23" s="5" t="inlineStr"/>
      <c r="G23" s="5" t="inlineStr">
        <is>
          <t>HPE</t>
        </is>
      </c>
      <c r="H23" s="5">
        <f>HYPERLINK("https://itrix.uz/product/132", "🔗 Mahsulot sotib olish")</f>
        <v/>
      </c>
      <c r="I23" t="inlineStr">
        <is>
          <t>2-132-138</t>
        </is>
      </c>
    </row>
    <row r="24" ht="30" customHeight="1">
      <c r="A24" s="4" t="inlineStr">
        <is>
          <t>HDD qattiq disklari</t>
        </is>
      </c>
      <c r="B24" s="4" t="inlineStr">
        <is>
          <t>HPE 300GB SAS 10000 rpm (2.5", SFF) qattiq diski</t>
        </is>
      </c>
      <c r="C24" s="5" t="inlineStr"/>
      <c r="D24" s="5" t="n">
        <v>555632</v>
      </c>
      <c r="E24" s="5" t="n">
        <v>496100</v>
      </c>
      <c r="F24" s="5" t="inlineStr"/>
      <c r="G24" s="5" t="inlineStr">
        <is>
          <t>HPE</t>
        </is>
      </c>
      <c r="H24" s="5">
        <f>HYPERLINK("https://itrix.uz/product/47", "🔗 Mahsulot sotib olish")</f>
        <v/>
      </c>
      <c r="I24" t="inlineStr">
        <is>
          <t>2-47-53</t>
        </is>
      </c>
    </row>
    <row r="25" ht="30" customHeight="1">
      <c r="A25" s="4" t="inlineStr">
        <is>
          <t>Aksessuarlar</t>
        </is>
      </c>
      <c r="B25" s="4" t="inlineStr">
        <is>
          <t>DELL R440/R540 CPU1 Heatsink protsessor uchun radiator</t>
        </is>
      </c>
      <c r="C25" s="5" t="inlineStr"/>
      <c r="D25" s="5" t="n">
        <v>650496</v>
      </c>
      <c r="E25" s="5" t="n">
        <v>580800</v>
      </c>
      <c r="F25" s="5" t="inlineStr"/>
      <c r="G25" s="5" t="inlineStr">
        <is>
          <t>Dell</t>
        </is>
      </c>
      <c r="H25" s="5">
        <f>HYPERLINK("https://itrix.uz/product/126", "🔗 Mahsulot sotib olish")</f>
        <v/>
      </c>
      <c r="I25" t="inlineStr">
        <is>
          <t>2-126-132</t>
        </is>
      </c>
    </row>
    <row r="26" ht="30" customHeight="1">
      <c r="A26" s="4" t="inlineStr">
        <is>
          <t>Tezkor xotira (RAM)</t>
        </is>
      </c>
      <c r="B26" s="4" t="inlineStr">
        <is>
          <t>Samsung 32GB DDR4-2933 operativ xotira</t>
        </is>
      </c>
      <c r="C26" s="5" t="inlineStr"/>
      <c r="D26" s="5" t="n">
        <v>1694000</v>
      </c>
      <c r="E26" s="5" t="n">
        <v>1512500</v>
      </c>
      <c r="F26" s="5" t="inlineStr"/>
      <c r="G26" s="5" t="inlineStr">
        <is>
          <t>Samsung</t>
        </is>
      </c>
      <c r="H26" s="5">
        <f>HYPERLINK("https://itrix.uz/product/80", "🔗 Mahsulot sotib olish")</f>
        <v/>
      </c>
      <c r="I26" t="inlineStr">
        <is>
          <t>2-80-86</t>
        </is>
      </c>
    </row>
    <row r="27" ht="30" customHeight="1">
      <c r="A27" s="4" t="inlineStr">
        <is>
          <t>Quvvat ta'minoti</t>
        </is>
      </c>
      <c r="B27" s="4" t="inlineStr">
        <is>
          <t>DELL 800W G15 Hot-Plug quvvat bloki</t>
        </is>
      </c>
      <c r="C27" s="5" t="inlineStr"/>
      <c r="D27" s="5" t="n">
        <v>2601984</v>
      </c>
      <c r="E27" s="5" t="n">
        <v>2323200</v>
      </c>
      <c r="F27" s="5" t="inlineStr"/>
      <c r="G27" s="5" t="inlineStr">
        <is>
          <t>Dell</t>
        </is>
      </c>
      <c r="H27" s="5">
        <f>HYPERLINK("https://itrix.uz/product/157", "🔗 Mahsulot sotib olish")</f>
        <v/>
      </c>
      <c r="I27" t="inlineStr">
        <is>
          <t>2-157-163</t>
        </is>
      </c>
    </row>
    <row r="28" ht="30" customHeight="1">
      <c r="A28" s="4" t="inlineStr">
        <is>
          <t>Quvvat ta'minoti</t>
        </is>
      </c>
      <c r="B28" s="4" t="inlineStr">
        <is>
          <t>HPE 1000W Flex Slot Titanium Hot Plug quvvat bloki</t>
        </is>
      </c>
      <c r="C28" s="5" t="inlineStr"/>
      <c r="D28" s="5" t="n">
        <v>2913680</v>
      </c>
      <c r="E28" s="5" t="n">
        <v>2601500</v>
      </c>
      <c r="F28" s="5" t="inlineStr"/>
      <c r="G28" s="5" t="inlineStr">
        <is>
          <t>HPE</t>
        </is>
      </c>
      <c r="H28" s="5">
        <f>HYPERLINK("https://itrix.uz/product/155", "🔗 Mahsulot sotib olish")</f>
        <v/>
      </c>
      <c r="I28" t="inlineStr">
        <is>
          <t>2-155-161</t>
        </is>
      </c>
    </row>
    <row r="29" ht="30" customHeight="1">
      <c r="A29" s="4" t="inlineStr">
        <is>
          <t>Video kartalar</t>
        </is>
      </c>
      <c r="B29" s="4" t="inlineStr">
        <is>
          <t xml:space="preserve"> NVIDIA RTX 6000 Ada 48GB GDDR6 videokartasi</t>
        </is>
      </c>
      <c r="C29" s="5" t="inlineStr"/>
      <c r="D29" s="5" t="n">
        <v>151755296</v>
      </c>
      <c r="E29" s="5" t="n">
        <v>135495800</v>
      </c>
      <c r="F29" s="5" t="inlineStr"/>
      <c r="G29" s="5" t="inlineStr">
        <is>
          <t>Nvidia</t>
        </is>
      </c>
      <c r="H29" s="5">
        <f>HYPERLINK("https://itrix.uz/product/501", "🔗 Mahsulot sotib olish")</f>
        <v/>
      </c>
      <c r="I29" t="inlineStr">
        <is>
          <t>2-501-484</t>
        </is>
      </c>
    </row>
    <row r="30" ht="30" customHeight="1">
      <c r="A30" s="4" t="inlineStr">
        <is>
          <t>SSD qattiq disklari</t>
        </is>
      </c>
      <c r="B30" s="4" t="inlineStr">
        <is>
          <t>Intel 960GB S4610 / MU / SATA / SSD</t>
        </is>
      </c>
      <c r="C30" s="5" t="inlineStr"/>
      <c r="D30" s="5" t="n">
        <v>5827360</v>
      </c>
      <c r="E30" s="5" t="n">
        <v>5203000</v>
      </c>
      <c r="F30" s="5" t="inlineStr"/>
      <c r="G30" s="5" t="inlineStr">
        <is>
          <t>Intel</t>
        </is>
      </c>
      <c r="H30" s="5">
        <f>HYPERLINK("https://itrix.uz/product/69", "🔗 Mahsulot sotib olish")</f>
        <v/>
      </c>
      <c r="I30" t="inlineStr">
        <is>
          <t>2-69-75</t>
        </is>
      </c>
    </row>
    <row r="31" ht="30" customHeight="1">
      <c r="A31" s="4" t="inlineStr">
        <is>
          <t>Aksessuarlar</t>
        </is>
      </c>
      <c r="B31" s="4" t="inlineStr">
        <is>
          <t>HPE DL380 Gen10 SFF Box1/2 Cage/Backplane Kit diskli qutisi</t>
        </is>
      </c>
      <c r="C31" s="5" t="inlineStr"/>
      <c r="D31" s="5" t="n">
        <v>3916528</v>
      </c>
      <c r="E31" s="5" t="n">
        <v>3496900</v>
      </c>
      <c r="F31" s="5" t="inlineStr"/>
      <c r="G31" s="5" t="inlineStr">
        <is>
          <t>HPE</t>
        </is>
      </c>
      <c r="H31" s="5">
        <f>HYPERLINK("https://itrix.uz/product/110", "🔗 Mahsulot sotib olish")</f>
        <v/>
      </c>
      <c r="I31" t="inlineStr">
        <is>
          <t>2-110-116</t>
        </is>
      </c>
    </row>
    <row r="32" ht="30" customHeight="1">
      <c r="A32" s="4" t="inlineStr">
        <is>
          <t>Aksessuarlar</t>
        </is>
      </c>
      <c r="B32" s="4" t="inlineStr">
        <is>
          <t>Mini-SAS HD tashqi ulash uchun kabel (SAS kabeli)</t>
        </is>
      </c>
      <c r="C32" s="5" t="inlineStr"/>
      <c r="D32" s="5" t="n">
        <v>2032800</v>
      </c>
      <c r="E32" s="5" t="n">
        <v>1815000</v>
      </c>
      <c r="F32" s="5" t="inlineStr"/>
      <c r="G32" s="5" t="inlineStr"/>
      <c r="H32" s="5">
        <f>HYPERLINK("https://itrix.uz/product/519", "🔗 Mahsulot sotib olish")</f>
        <v/>
      </c>
      <c r="I32" t="inlineStr">
        <is>
          <t>2-519-495</t>
        </is>
      </c>
    </row>
    <row r="33" ht="30" customHeight="1">
      <c r="A33" s="4" t="inlineStr">
        <is>
          <t>SSD qattiq disklari</t>
        </is>
      </c>
      <c r="B33" s="4" t="inlineStr">
        <is>
          <t>SAMSUNG 960GB PM1643a / SAS / MU / SSD</t>
        </is>
      </c>
      <c r="C33" s="5" t="inlineStr"/>
      <c r="D33" s="5" t="n">
        <v>6938624</v>
      </c>
      <c r="E33" s="5" t="n">
        <v>6195200</v>
      </c>
      <c r="F33" s="5" t="inlineStr"/>
      <c r="G33" s="5" t="inlineStr">
        <is>
          <t>Samsung</t>
        </is>
      </c>
      <c r="H33" s="5">
        <f>HYPERLINK("https://itrix.uz/product/70", "🔗 Mahsulot sotib olish")</f>
        <v/>
      </c>
      <c r="I33" t="inlineStr">
        <is>
          <t>2-70-76</t>
        </is>
      </c>
    </row>
    <row r="34" ht="30" customHeight="1">
      <c r="A34" s="4" t="inlineStr">
        <is>
          <t>Protsessorlar</t>
        </is>
      </c>
      <c r="B34" s="4" t="inlineStr">
        <is>
          <t>Intel Xeon-Gold 6250 (3.9GHz/8-core/185W)</t>
        </is>
      </c>
      <c r="C34" s="5" t="inlineStr"/>
      <c r="D34" s="5" t="n">
        <v>43041152</v>
      </c>
      <c r="E34" s="5" t="n">
        <v>38429600</v>
      </c>
      <c r="F34" s="5" t="inlineStr"/>
      <c r="G34" s="5" t="inlineStr">
        <is>
          <t>Intel</t>
        </is>
      </c>
      <c r="H34" s="5">
        <f>HYPERLINK("https://itrix.uz/product/354", "🔗 Mahsulot sotib olish")</f>
        <v/>
      </c>
      <c r="I34" t="inlineStr">
        <is>
          <t>2-354-356</t>
        </is>
      </c>
    </row>
    <row r="35" ht="30" customHeight="1">
      <c r="A35" s="4" t="inlineStr">
        <is>
          <t>Protsessorlar</t>
        </is>
      </c>
      <c r="B35" s="4" t="inlineStr">
        <is>
          <t>Intel Xeon-Gold 5220R (2.2GHz/24-core/150W)</t>
        </is>
      </c>
      <c r="C35" s="5" t="inlineStr"/>
      <c r="D35" s="5" t="n">
        <v>18051264</v>
      </c>
      <c r="E35" s="5" t="n">
        <v>16117200</v>
      </c>
      <c r="F35" s="5" t="inlineStr"/>
      <c r="G35" s="5" t="inlineStr">
        <is>
          <t>Intel</t>
        </is>
      </c>
      <c r="H35" s="5">
        <f>HYPERLINK("https://itrix.uz/product/346", "🔗 Mahsulot sotib olish")</f>
        <v/>
      </c>
      <c r="I35" t="inlineStr">
        <is>
          <t>2-346-348</t>
        </is>
      </c>
    </row>
    <row r="36" ht="30" customHeight="1">
      <c r="A36" s="4" t="inlineStr">
        <is>
          <t>Tezkor xotira (RAM)</t>
        </is>
      </c>
      <c r="B36" s="4" t="inlineStr">
        <is>
          <t>Samsung 16GB DDR4-2666 operativ xotira</t>
        </is>
      </c>
      <c r="C36" s="5" t="inlineStr"/>
      <c r="D36" s="5" t="n">
        <v>1300992</v>
      </c>
      <c r="E36" s="5" t="n">
        <v>1161600</v>
      </c>
      <c r="F36" s="5" t="inlineStr"/>
      <c r="G36" s="5" t="inlineStr">
        <is>
          <t>Samsung</t>
        </is>
      </c>
      <c r="H36" s="5">
        <f>HYPERLINK("https://itrix.uz/product/77", "🔗 Mahsulot sotib olish")</f>
        <v/>
      </c>
      <c r="I36" t="inlineStr">
        <is>
          <t>2-77-83</t>
        </is>
      </c>
    </row>
    <row r="37" ht="30" customHeight="1">
      <c r="A37" s="4" t="inlineStr">
        <is>
          <t>HDD qattiq disklari</t>
        </is>
      </c>
      <c r="B37" s="4" t="inlineStr">
        <is>
          <t>DELL 16TB SAS 7200 rpm (3.5", LFF) qattiq diski</t>
        </is>
      </c>
      <c r="C37" s="5" t="inlineStr"/>
      <c r="D37" s="5" t="n">
        <v>5868016</v>
      </c>
      <c r="E37" s="5" t="n">
        <v>5239300</v>
      </c>
      <c r="F37" s="5" t="inlineStr"/>
      <c r="G37" s="5" t="inlineStr">
        <is>
          <t>Dell</t>
        </is>
      </c>
      <c r="H37" s="5">
        <f>HYPERLINK("https://itrix.uz/product/41", "🔗 Mahsulot sotib olish")</f>
        <v/>
      </c>
      <c r="I37" t="inlineStr">
        <is>
          <t>2-41-47</t>
        </is>
      </c>
    </row>
    <row r="38" ht="30" customHeight="1">
      <c r="A38" s="4" t="inlineStr">
        <is>
          <t>Tezkor xotira (RAM)</t>
        </is>
      </c>
      <c r="B38" s="4" t="inlineStr">
        <is>
          <t>Samsung 64GB DDR4-2666 LRDIMM operativ xotira</t>
        </is>
      </c>
      <c r="C38" s="5" t="inlineStr"/>
      <c r="D38" s="5" t="n">
        <v>1273888</v>
      </c>
      <c r="E38" s="5" t="n">
        <v>1137400</v>
      </c>
      <c r="F38" s="5" t="inlineStr"/>
      <c r="G38" s="5" t="inlineStr">
        <is>
          <t>Samsung</t>
        </is>
      </c>
      <c r="H38" s="5">
        <f>HYPERLINK("https://itrix.uz/product/81", "🔗 Mahsulot sotib olish")</f>
        <v/>
      </c>
      <c r="I38" t="inlineStr">
        <is>
          <t>2-81-87</t>
        </is>
      </c>
    </row>
    <row r="39" ht="30" customHeight="1">
      <c r="A39" s="4" t="inlineStr">
        <is>
          <t>Protsessorlar</t>
        </is>
      </c>
      <c r="B39" s="4" t="inlineStr">
        <is>
          <t>Intel Xeon Gold 6354 (3.0GHz/18-core/205W)</t>
        </is>
      </c>
      <c r="C39" s="5" t="inlineStr"/>
      <c r="D39" s="5" t="n">
        <v>36658160</v>
      </c>
      <c r="E39" s="5" t="n">
        <v>32730500</v>
      </c>
      <c r="F39" s="5" t="inlineStr"/>
      <c r="G39" s="5" t="inlineStr">
        <is>
          <t>Intel</t>
        </is>
      </c>
      <c r="H39" s="5">
        <f>HYPERLINK("https://itrix.uz/product/362", "🔗 Mahsulot sotib olish")</f>
        <v/>
      </c>
      <c r="I39" t="inlineStr">
        <is>
          <t>2-362-364</t>
        </is>
      </c>
    </row>
    <row r="40" ht="30" customHeight="1">
      <c r="A40" s="4" t="inlineStr">
        <is>
          <t>Tezkor xotira (RAM)</t>
        </is>
      </c>
      <c r="B40" s="4" t="inlineStr">
        <is>
          <t>Samsung 64GB DDR4-3200 operativ xotira</t>
        </is>
      </c>
      <c r="C40" s="5" t="inlineStr"/>
      <c r="D40" s="5" t="n">
        <v>3266032</v>
      </c>
      <c r="E40" s="5" t="n">
        <v>2916100</v>
      </c>
      <c r="F40" s="5" t="inlineStr"/>
      <c r="G40" s="5" t="inlineStr">
        <is>
          <t>Samsung</t>
        </is>
      </c>
      <c r="H40" s="5">
        <f>HYPERLINK("https://itrix.uz/product/82", "🔗 Mahsulot sotib olish")</f>
        <v/>
      </c>
      <c r="I40" t="inlineStr">
        <is>
          <t>2-82-88</t>
        </is>
      </c>
    </row>
    <row r="41" ht="30" customHeight="1">
      <c r="A41" s="4" t="inlineStr">
        <is>
          <t>HDD qattiq disklari</t>
        </is>
      </c>
      <c r="B41" s="4" t="inlineStr">
        <is>
          <t>HPE 1TB SATA 7200 rpm (3.5", LFF) qattiq diski</t>
        </is>
      </c>
      <c r="C41" s="5" t="inlineStr"/>
      <c r="D41" s="5" t="n">
        <v>2507120</v>
      </c>
      <c r="E41" s="5" t="n">
        <v>2238500</v>
      </c>
      <c r="F41" s="5" t="inlineStr"/>
      <c r="G41" s="5" t="inlineStr">
        <is>
          <t>HPE</t>
        </is>
      </c>
      <c r="H41" s="5">
        <f>HYPERLINK("https://itrix.uz/product/44", "🔗 Mahsulot sotib olish")</f>
        <v/>
      </c>
      <c r="I41" t="inlineStr">
        <is>
          <t>2-44-50</t>
        </is>
      </c>
    </row>
    <row r="42" ht="30" customHeight="1">
      <c r="A42" s="4" t="inlineStr">
        <is>
          <t>Tarkibiy qismlar</t>
        </is>
      </c>
      <c r="B42" s="4" t="inlineStr">
        <is>
          <t>Dell DW316 tashqi USB Slim DVD±RW disk yuritgichi</t>
        </is>
      </c>
      <c r="C42" s="5" t="inlineStr"/>
      <c r="D42" s="5" t="n">
        <v>1951488</v>
      </c>
      <c r="E42" s="5" t="n">
        <v>1742400</v>
      </c>
      <c r="F42" s="5" t="inlineStr"/>
      <c r="G42" s="5" t="inlineStr">
        <is>
          <t>Dell</t>
        </is>
      </c>
      <c r="H42" s="5">
        <f>HYPERLINK("https://itrix.uz/product/593", "🔗 Mahsulot sotib olish")</f>
        <v/>
      </c>
      <c r="I42" t="inlineStr">
        <is>
          <t>2-593-548</t>
        </is>
      </c>
    </row>
    <row r="43" ht="30" customHeight="1">
      <c r="A43" s="4" t="inlineStr">
        <is>
          <t>Tarkibiy qismlar</t>
        </is>
      </c>
      <c r="B43" s="4" t="inlineStr">
        <is>
          <t>Samsung T9 4TB portativ SSD (USB 3.2 Gen 2x2)</t>
        </is>
      </c>
      <c r="C43" s="5" t="inlineStr"/>
      <c r="D43" s="5" t="n">
        <v>14121184</v>
      </c>
      <c r="E43" s="5" t="n">
        <v>12608200</v>
      </c>
      <c r="F43" s="5" t="inlineStr"/>
      <c r="G43" s="5" t="inlineStr">
        <is>
          <t>Samsung</t>
        </is>
      </c>
      <c r="H43" s="5">
        <f>HYPERLINK("https://itrix.uz/product/595", "🔗 Mahsulot sotib olish")</f>
        <v/>
      </c>
      <c r="I43" t="inlineStr">
        <is>
          <t>2-595-550</t>
        </is>
      </c>
    </row>
    <row r="44" ht="30" customHeight="1">
      <c r="A44" s="4" t="inlineStr">
        <is>
          <t>Aksessuarlar</t>
        </is>
      </c>
      <c r="B44" s="4" t="inlineStr">
        <is>
          <t>DELL 2SFF NVMe Riser R750 Cable</t>
        </is>
      </c>
      <c r="C44" s="5" t="inlineStr"/>
      <c r="D44" s="5" t="n">
        <v>3252480</v>
      </c>
      <c r="E44" s="5" t="n">
        <v>2904000</v>
      </c>
      <c r="F44" s="5" t="inlineStr"/>
      <c r="G44" s="5" t="inlineStr">
        <is>
          <t>Dell</t>
        </is>
      </c>
      <c r="H44" s="5">
        <f>HYPERLINK("https://itrix.uz/product/117", "🔗 Mahsulot sotib olish")</f>
        <v/>
      </c>
      <c r="I44" t="inlineStr">
        <is>
          <t>2-117-123</t>
        </is>
      </c>
    </row>
    <row r="45" ht="30" customHeight="1">
      <c r="A45" s="4" t="inlineStr">
        <is>
          <t>Protsessorlar</t>
        </is>
      </c>
      <c r="B45" s="4" t="inlineStr">
        <is>
          <t>Intel Xeon Gold 6326 (2.9GHz/16-core/185W)</t>
        </is>
      </c>
      <c r="C45" s="5" t="inlineStr"/>
      <c r="D45" s="5" t="n">
        <v>20273792</v>
      </c>
      <c r="E45" s="5" t="n">
        <v>18101600</v>
      </c>
      <c r="F45" s="5" t="inlineStr"/>
      <c r="G45" s="5" t="inlineStr">
        <is>
          <t>Intel</t>
        </is>
      </c>
      <c r="H45" s="5">
        <f>HYPERLINK("https://itrix.uz/product/355", "🔗 Mahsulot sotib olish")</f>
        <v/>
      </c>
      <c r="I45" t="inlineStr">
        <is>
          <t>2-355-357</t>
        </is>
      </c>
    </row>
    <row r="46" ht="30" customHeight="1">
      <c r="A46" s="4" t="inlineStr">
        <is>
          <t>Aksessuarlar</t>
        </is>
      </c>
      <c r="B46" s="4" t="inlineStr">
        <is>
          <t>LC/UPC–LC/UPC MM (OM4) duplex Uniboot flat klipli 3m optik patch kabel</t>
        </is>
      </c>
      <c r="C46" s="5" t="inlineStr"/>
      <c r="D46" s="5" t="n">
        <v>108416</v>
      </c>
      <c r="E46" s="5" t="n">
        <v>96800</v>
      </c>
      <c r="F46" s="5" t="inlineStr"/>
      <c r="G46" s="5" t="inlineStr"/>
      <c r="H46" s="5">
        <f>HYPERLINK("https://itrix.uz/product/555", "🔗 Mahsulot sotib olish")</f>
        <v/>
      </c>
      <c r="I46" t="inlineStr">
        <is>
          <t>2-555-518</t>
        </is>
      </c>
    </row>
    <row r="47" ht="30" customHeight="1">
      <c r="A47" s="4" t="inlineStr">
        <is>
          <t>SSD qattiq disklari</t>
        </is>
      </c>
      <c r="B47" s="4" t="inlineStr">
        <is>
          <t>HPE 3.84TB SAS MU SSD</t>
        </is>
      </c>
      <c r="C47" s="5" t="inlineStr"/>
      <c r="D47" s="5" t="n">
        <v>20870080</v>
      </c>
      <c r="E47" s="5" t="n">
        <v>18634000</v>
      </c>
      <c r="F47" s="5" t="inlineStr"/>
      <c r="G47" s="5" t="inlineStr">
        <is>
          <t>HPE</t>
        </is>
      </c>
      <c r="H47" s="5">
        <f>HYPERLINK("https://itrix.uz/product/71", "🔗 Mahsulot sotib olish")</f>
        <v/>
      </c>
      <c r="I47" t="inlineStr">
        <is>
          <t>2-71-77</t>
        </is>
      </c>
    </row>
    <row r="48" ht="30" customHeight="1">
      <c r="A48" s="4" t="inlineStr">
        <is>
          <t>Aksessuarlar</t>
        </is>
      </c>
      <c r="B48" s="4" t="inlineStr">
        <is>
          <t>FS Dell 331-5311 mos 10GBASE-SR SFP+ optik transiver moduli, 850nm, 300m, LC/UPC</t>
        </is>
      </c>
      <c r="C48" s="5" t="inlineStr"/>
      <c r="D48" s="5" t="n">
        <v>704704</v>
      </c>
      <c r="E48" s="5" t="n">
        <v>629200</v>
      </c>
      <c r="F48" s="5" t="inlineStr"/>
      <c r="G48" s="5" t="inlineStr">
        <is>
          <t>FS</t>
        </is>
      </c>
      <c r="H48" s="5">
        <f>HYPERLINK("https://itrix.uz/product/576", "🔗 Mahsulot sotib olish")</f>
        <v/>
      </c>
      <c r="I48" t="inlineStr">
        <is>
          <t>2-576-536</t>
        </is>
      </c>
    </row>
    <row r="49" ht="30" customHeight="1">
      <c r="A49" s="4" t="inlineStr">
        <is>
          <t>Aksessuarlar</t>
        </is>
      </c>
      <c r="B49" s="4" t="inlineStr">
        <is>
          <t>HPE ML110/ML350 Gen10 4LFF Drive Backplane Cage Kit diskli qutisi</t>
        </is>
      </c>
      <c r="C49" s="5" t="inlineStr"/>
      <c r="D49" s="5" t="n">
        <v>2994992</v>
      </c>
      <c r="E49" s="5" t="n">
        <v>2674100</v>
      </c>
      <c r="F49" s="5" t="inlineStr"/>
      <c r="G49" s="5" t="inlineStr">
        <is>
          <t>HPE</t>
        </is>
      </c>
      <c r="H49" s="5">
        <f>HYPERLINK("https://itrix.uz/product/104", "🔗 Mahsulot sotib olish")</f>
        <v/>
      </c>
      <c r="I49" t="inlineStr">
        <is>
          <t>2-104-110</t>
        </is>
      </c>
    </row>
    <row r="50" ht="30" customHeight="1">
      <c r="A50" s="4" t="inlineStr">
        <is>
          <t>Protsessorlar</t>
        </is>
      </c>
      <c r="B50" s="4" t="inlineStr">
        <is>
          <t>Intel Xeon Gold 6334 (3.6GHz/8-core/165W)</t>
        </is>
      </c>
      <c r="C50" s="5" t="inlineStr"/>
      <c r="D50" s="5" t="n">
        <v>24163216</v>
      </c>
      <c r="E50" s="5" t="n">
        <v>21574300</v>
      </c>
      <c r="F50" s="5" t="inlineStr"/>
      <c r="G50" s="5" t="inlineStr">
        <is>
          <t>Intel</t>
        </is>
      </c>
      <c r="H50" s="5">
        <f>HYPERLINK("https://itrix.uz/product/357", "🔗 Mahsulot sotib olish")</f>
        <v/>
      </c>
      <c r="I50" t="inlineStr">
        <is>
          <t>2-357-359</t>
        </is>
      </c>
    </row>
    <row r="51" ht="30" customHeight="1">
      <c r="A51" s="4" t="inlineStr">
        <is>
          <t>Protsessorlar</t>
        </is>
      </c>
      <c r="B51" s="4" t="inlineStr">
        <is>
          <t>Intel Xeon-Gold 6226R (2.9GHz/16-core/150W)</t>
        </is>
      </c>
      <c r="C51" s="5" t="inlineStr"/>
      <c r="D51" s="5" t="n">
        <v>15544144</v>
      </c>
      <c r="E51" s="5" t="n">
        <v>13878700</v>
      </c>
      <c r="F51" s="5" t="inlineStr"/>
      <c r="G51" s="5" t="inlineStr">
        <is>
          <t>Intel</t>
        </is>
      </c>
      <c r="H51" s="5">
        <f>HYPERLINK("https://itrix.uz/product/351", "🔗 Mahsulot sotib olish")</f>
        <v/>
      </c>
      <c r="I51" t="inlineStr">
        <is>
          <t>2-351-353</t>
        </is>
      </c>
    </row>
    <row r="52" ht="30" customHeight="1">
      <c r="A52" s="4" t="inlineStr">
        <is>
          <t>Protsessorlar</t>
        </is>
      </c>
      <c r="B52" s="4" t="inlineStr">
        <is>
          <t>Intel Xeon Silver 4309Y 2.8G, 8C, 12M (105W)</t>
        </is>
      </c>
      <c r="C52" s="5" t="inlineStr"/>
      <c r="D52" s="5" t="n">
        <v>8191506</v>
      </c>
      <c r="E52" s="5" t="n">
        <v>7313845</v>
      </c>
      <c r="F52" s="5" t="inlineStr"/>
      <c r="G52" s="5" t="inlineStr">
        <is>
          <t>Intel</t>
        </is>
      </c>
      <c r="H52" s="5">
        <f>HYPERLINK("https://itrix.uz/product/333", "🔗 Mahsulot sotib olish")</f>
        <v/>
      </c>
      <c r="I52" t="inlineStr">
        <is>
          <t>2-333-335</t>
        </is>
      </c>
    </row>
    <row r="53" ht="30" customHeight="1">
      <c r="A53" s="4" t="inlineStr">
        <is>
          <t>Protsessorlar</t>
        </is>
      </c>
      <c r="B53" s="4" t="inlineStr">
        <is>
          <t>Intel Xeon Gold 6330 (2.0GHz/28-core/205W)</t>
        </is>
      </c>
      <c r="C53" s="5" t="inlineStr"/>
      <c r="D53" s="5" t="n">
        <v>16953552</v>
      </c>
      <c r="E53" s="5" t="n">
        <v>15137100</v>
      </c>
      <c r="F53" s="5" t="inlineStr"/>
      <c r="G53" s="5" t="inlineStr">
        <is>
          <t>Intel</t>
        </is>
      </c>
      <c r="H53" s="5">
        <f>HYPERLINK("https://itrix.uz/product/356", "🔗 Mahsulot sotib olish")</f>
        <v/>
      </c>
      <c r="I53" t="inlineStr">
        <is>
          <t>2-356-358</t>
        </is>
      </c>
    </row>
    <row r="54" ht="30" customHeight="1">
      <c r="A54" s="4" t="inlineStr">
        <is>
          <t>Protsessorlar</t>
        </is>
      </c>
      <c r="B54" s="4" t="inlineStr">
        <is>
          <t>Intel Xeon-Silver 4208 (2.1GHz/8-core/85W)</t>
        </is>
      </c>
      <c r="C54" s="5" t="inlineStr"/>
      <c r="D54" s="5" t="n">
        <v>5215352</v>
      </c>
      <c r="E54" s="5" t="n">
        <v>4656564</v>
      </c>
      <c r="F54" s="5" t="inlineStr"/>
      <c r="G54" s="5" t="inlineStr">
        <is>
          <t>Intel</t>
        </is>
      </c>
      <c r="H54" s="5">
        <f>HYPERLINK("https://itrix.uz/product/334", "🔗 Mahsulot sotib olish")</f>
        <v/>
      </c>
      <c r="I54" t="inlineStr">
        <is>
          <t>2-334-336</t>
        </is>
      </c>
    </row>
    <row r="55" ht="30" customHeight="1">
      <c r="A55" s="4" t="inlineStr">
        <is>
          <t>SSD qattiq disklari</t>
        </is>
      </c>
      <c r="B55" s="4" t="inlineStr">
        <is>
          <t>DELL 960GB SAS RI SSD xotira qurilmasi</t>
        </is>
      </c>
      <c r="C55" s="5" t="inlineStr"/>
      <c r="D55" s="5" t="n">
        <v>6518512</v>
      </c>
      <c r="E55" s="5" t="n">
        <v>5820100</v>
      </c>
      <c r="F55" s="5" t="inlineStr"/>
      <c r="G55" s="5" t="inlineStr">
        <is>
          <t>Dell</t>
        </is>
      </c>
      <c r="H55" s="5">
        <f>HYPERLINK("https://itrix.uz/product/72", "🔗 Mahsulot sotib olish")</f>
        <v/>
      </c>
      <c r="I55" t="inlineStr">
        <is>
          <t>2-72-78</t>
        </is>
      </c>
    </row>
    <row r="56" ht="30" customHeight="1">
      <c r="A56" s="4" t="inlineStr">
        <is>
          <t>Protsessorlar</t>
        </is>
      </c>
      <c r="B56" s="4" t="inlineStr">
        <is>
          <t>Intel Xeon-Gold 5220 (2.2GHz/18-core/125W)</t>
        </is>
      </c>
      <c r="C56" s="5" t="inlineStr"/>
      <c r="D56" s="5" t="n">
        <v>4716096</v>
      </c>
      <c r="E56" s="5" t="n">
        <v>4210800</v>
      </c>
      <c r="F56" s="5" t="inlineStr"/>
      <c r="G56" s="5" t="inlineStr">
        <is>
          <t>Intel</t>
        </is>
      </c>
      <c r="H56" s="5">
        <f>HYPERLINK("https://itrix.uz/product/345", "🔗 Mahsulot sotib olish")</f>
        <v/>
      </c>
      <c r="I56" t="inlineStr">
        <is>
          <t>2-345-347</t>
        </is>
      </c>
    </row>
    <row r="57" ht="30" customHeight="1">
      <c r="A57" s="4" t="inlineStr">
        <is>
          <t>Aksessuarlar</t>
        </is>
      </c>
      <c r="B57" s="4" t="inlineStr">
        <is>
          <t>Dell QSFP-64GFC-SW4 64G qisqa masofali QSFP+ MPO optik moduli</t>
        </is>
      </c>
      <c r="C57" s="5" t="inlineStr"/>
      <c r="D57" s="5" t="n">
        <v>5420800</v>
      </c>
      <c r="E57" s="5" t="n">
        <v>4840000</v>
      </c>
      <c r="F57" s="5" t="inlineStr"/>
      <c r="G57" s="5" t="inlineStr">
        <is>
          <t>Dell</t>
        </is>
      </c>
      <c r="H57" s="5">
        <f>HYPERLINK("https://itrix.uz/product/579", "🔗 Mahsulot sotib olish")</f>
        <v/>
      </c>
      <c r="I57" t="inlineStr">
        <is>
          <t>2-579-538</t>
        </is>
      </c>
    </row>
    <row r="58" ht="30" customHeight="1">
      <c r="A58" s="4" t="inlineStr">
        <is>
          <t>Protsessorlar</t>
        </is>
      </c>
      <c r="B58" s="4" t="inlineStr">
        <is>
          <t>Intel Xeon-Silver 4210 (2.2GHz/10-core/85W)</t>
        </is>
      </c>
      <c r="C58" s="5" t="inlineStr"/>
      <c r="D58" s="5" t="n">
        <v>3748483</v>
      </c>
      <c r="E58" s="5" t="n">
        <v>3346860</v>
      </c>
      <c r="F58" s="5" t="inlineStr"/>
      <c r="G58" s="5" t="inlineStr">
        <is>
          <t>Intel</t>
        </is>
      </c>
      <c r="H58" s="5">
        <f>HYPERLINK("https://itrix.uz/product/335", "🔗 Mahsulot sotib olish")</f>
        <v/>
      </c>
      <c r="I58" t="inlineStr">
        <is>
          <t>2-335-337</t>
        </is>
      </c>
    </row>
    <row r="59" ht="30" customHeight="1">
      <c r="A59" s="4" t="inlineStr">
        <is>
          <t>Protsessorlar</t>
        </is>
      </c>
      <c r="B59" s="4" t="inlineStr">
        <is>
          <t>Intel Xeon-Silver 4210R (2.4GHz/10-core/100W)</t>
        </is>
      </c>
      <c r="C59" s="5" t="inlineStr"/>
      <c r="D59" s="5" t="n">
        <v>5868016</v>
      </c>
      <c r="E59" s="5" t="n">
        <v>5239300</v>
      </c>
      <c r="F59" s="5" t="inlineStr"/>
      <c r="G59" s="5" t="inlineStr">
        <is>
          <t>Intel</t>
        </is>
      </c>
      <c r="H59" s="5">
        <f>HYPERLINK("https://itrix.uz/product/336", "🔗 Mahsulot sotib olish")</f>
        <v/>
      </c>
      <c r="I59" t="inlineStr">
        <is>
          <t>2-336-338</t>
        </is>
      </c>
    </row>
    <row r="60" ht="30" customHeight="1">
      <c r="A60" s="4" t="inlineStr">
        <is>
          <t>Aksessuarlar</t>
        </is>
      </c>
      <c r="B60" s="4" t="inlineStr">
        <is>
          <t>SFP-64G31-LWL 64G optik transiver moduli, 1310nm, 10km, LC ulagich, SMF</t>
        </is>
      </c>
      <c r="C60" s="5" t="inlineStr"/>
      <c r="D60" s="5" t="n">
        <v>13931456</v>
      </c>
      <c r="E60" s="5" t="n">
        <v>12438800</v>
      </c>
      <c r="F60" s="5" t="inlineStr"/>
      <c r="G60" s="5" t="inlineStr"/>
      <c r="H60" s="5">
        <f>HYPERLINK("https://itrix.uz/product/580", "🔗 Mahsulot sotib olish")</f>
        <v/>
      </c>
      <c r="I60" t="inlineStr">
        <is>
          <t>2-580-539</t>
        </is>
      </c>
    </row>
    <row r="61" ht="30" customHeight="1">
      <c r="A61" s="4" t="inlineStr">
        <is>
          <t>Protsessorlar</t>
        </is>
      </c>
      <c r="B61" s="4" t="inlineStr">
        <is>
          <t>Intel Xeon Silver 4314 (2.4GHz/16-core/135W)</t>
        </is>
      </c>
      <c r="C61" s="5" t="inlineStr"/>
      <c r="D61" s="5" t="n">
        <v>9784544</v>
      </c>
      <c r="E61" s="5" t="n">
        <v>8736200</v>
      </c>
      <c r="F61" s="5" t="inlineStr"/>
      <c r="G61" s="5" t="inlineStr">
        <is>
          <t>Intel</t>
        </is>
      </c>
      <c r="H61" s="5">
        <f>HYPERLINK("https://itrix.uz/product/341", "🔗 Mahsulot sotib olish")</f>
        <v/>
      </c>
      <c r="I61" t="inlineStr">
        <is>
          <t>2-341-343</t>
        </is>
      </c>
    </row>
    <row r="62" ht="30" customHeight="1">
      <c r="A62" s="4" t="inlineStr">
        <is>
          <t>HDD qattiq disklari</t>
        </is>
      </c>
      <c r="B62" s="4" t="inlineStr">
        <is>
          <t>DELL 12TB SAS 7200 rpm (3.5", LFF) qattiq diski</t>
        </is>
      </c>
      <c r="C62" s="5" t="inlineStr"/>
      <c r="D62" s="5" t="n">
        <v>5542768</v>
      </c>
      <c r="E62" s="5" t="n">
        <v>4948900</v>
      </c>
      <c r="F62" s="5" t="inlineStr"/>
      <c r="G62" s="5" t="inlineStr">
        <is>
          <t>Dell</t>
        </is>
      </c>
      <c r="H62" s="5">
        <f>HYPERLINK("https://itrix.uz/product/37", "🔗 Mahsulot sotib olish")</f>
        <v/>
      </c>
      <c r="I62" t="inlineStr">
        <is>
          <t>2-37-43</t>
        </is>
      </c>
    </row>
    <row r="63" ht="30" customHeight="1">
      <c r="A63" s="4" t="inlineStr">
        <is>
          <t>Protsessorlar</t>
        </is>
      </c>
      <c r="B63" s="4" t="inlineStr">
        <is>
          <t>Intel Xeon Silver 4310 (2.1GHz/12-Core/120W)</t>
        </is>
      </c>
      <c r="C63" s="5" t="inlineStr"/>
      <c r="D63" s="5" t="n">
        <v>7914368</v>
      </c>
      <c r="E63" s="5" t="n">
        <v>7066400</v>
      </c>
      <c r="F63" s="5" t="inlineStr"/>
      <c r="G63" s="5" t="inlineStr">
        <is>
          <t>Intel</t>
        </is>
      </c>
      <c r="H63" s="5">
        <f>HYPERLINK("https://itrix.uz/product/340", "🔗 Mahsulot sotib olish")</f>
        <v/>
      </c>
      <c r="I63" t="inlineStr">
        <is>
          <t>2-340-342</t>
        </is>
      </c>
    </row>
    <row r="64" ht="30" customHeight="1">
      <c r="A64" s="4" t="inlineStr">
        <is>
          <t>Protsessorlar</t>
        </is>
      </c>
      <c r="B64" s="4" t="inlineStr">
        <is>
          <t>Intel Xeon-Gold 5218R (2.1GHz/20-core/125W)</t>
        </is>
      </c>
      <c r="C64" s="5" t="inlineStr"/>
      <c r="D64" s="5" t="n">
        <v>11736032</v>
      </c>
      <c r="E64" s="5" t="n">
        <v>10478600</v>
      </c>
      <c r="F64" s="5" t="inlineStr"/>
      <c r="G64" s="5" t="inlineStr">
        <is>
          <t>Intel</t>
        </is>
      </c>
      <c r="H64" s="5">
        <f>HYPERLINK("https://itrix.uz/product/344", "🔗 Mahsulot sotib olish")</f>
        <v/>
      </c>
      <c r="I64" t="inlineStr">
        <is>
          <t>2-344-346</t>
        </is>
      </c>
    </row>
    <row r="65" ht="30" customHeight="1">
      <c r="A65" s="4" t="inlineStr">
        <is>
          <t>Protsessorlar</t>
        </is>
      </c>
      <c r="B65" s="4" t="inlineStr">
        <is>
          <t>Intel Xeon-Silver 4214 (2.2GHz/12-core/85W)</t>
        </is>
      </c>
      <c r="C65" s="5" t="inlineStr"/>
      <c r="D65" s="5" t="n">
        <v>2642640</v>
      </c>
      <c r="E65" s="5" t="n">
        <v>2359500</v>
      </c>
      <c r="F65" s="5" t="inlineStr"/>
      <c r="G65" s="5" t="inlineStr">
        <is>
          <t>Intel</t>
        </is>
      </c>
      <c r="H65" s="5">
        <f>HYPERLINK("https://itrix.uz/product/337", "🔗 Mahsulot sotib olish")</f>
        <v/>
      </c>
      <c r="I65" t="inlineStr">
        <is>
          <t>2-337-339</t>
        </is>
      </c>
    </row>
    <row r="66" ht="30" customHeight="1">
      <c r="A66" s="4" t="inlineStr">
        <is>
          <t>Protsessorlar</t>
        </is>
      </c>
      <c r="B66" s="4" t="inlineStr">
        <is>
          <t>Intel Xeon-Silver 4214R (2.4GHz/12-core/100W)</t>
        </is>
      </c>
      <c r="C66" s="5" t="inlineStr"/>
      <c r="D66" s="5" t="n">
        <v>9134048</v>
      </c>
      <c r="E66" s="5" t="n">
        <v>8155400</v>
      </c>
      <c r="F66" s="5" t="inlineStr"/>
      <c r="G66" s="5" t="inlineStr">
        <is>
          <t>Intel</t>
        </is>
      </c>
      <c r="H66" s="5">
        <f>HYPERLINK("https://itrix.uz/product/338", "🔗 Mahsulot sotib olish")</f>
        <v/>
      </c>
      <c r="I66" t="inlineStr">
        <is>
          <t>2-338-340</t>
        </is>
      </c>
    </row>
    <row r="67" ht="30" customHeight="1">
      <c r="A67" s="4" t="inlineStr">
        <is>
          <t>SSD qattiq disklari</t>
        </is>
      </c>
      <c r="B67" s="4" t="inlineStr">
        <is>
          <t>Samsung PM983 7.68TB SATA 6Gbps 2.5 dyuymli SSD disk</t>
        </is>
      </c>
      <c r="C67" s="5" t="inlineStr"/>
      <c r="D67" s="5" t="n">
        <v>10977120</v>
      </c>
      <c r="E67" s="5" t="n">
        <v>9801000</v>
      </c>
      <c r="F67" s="5" t="inlineStr"/>
      <c r="G67" s="5" t="inlineStr">
        <is>
          <t>Samsung</t>
        </is>
      </c>
      <c r="H67" s="5">
        <f>HYPERLINK("https://itrix.uz/product/529", "🔗 Mahsulot sotib olish")</f>
        <v/>
      </c>
      <c r="I67" t="inlineStr">
        <is>
          <t>2-529-502</t>
        </is>
      </c>
    </row>
    <row r="68" ht="30" customHeight="1">
      <c r="A68" s="4" t="inlineStr">
        <is>
          <t>Protsessorlar</t>
        </is>
      </c>
      <c r="B68" s="4" t="inlineStr">
        <is>
          <t>Intel Xeon Gold 6338 (2GHz/32-core/205W)</t>
        </is>
      </c>
      <c r="C68" s="5" t="inlineStr"/>
      <c r="D68" s="5" t="n">
        <v>29434944</v>
      </c>
      <c r="E68" s="5" t="n">
        <v>26281200</v>
      </c>
      <c r="F68" s="5" t="inlineStr"/>
      <c r="G68" s="5" t="inlineStr">
        <is>
          <t>Intel</t>
        </is>
      </c>
      <c r="H68" s="5">
        <f>HYPERLINK("https://itrix.uz/product/358", "🔗 Mahsulot sotib olish")</f>
        <v/>
      </c>
      <c r="I68" t="inlineStr">
        <is>
          <t>2-358-360</t>
        </is>
      </c>
    </row>
    <row r="69" ht="30" customHeight="1">
      <c r="A69" s="4" t="inlineStr">
        <is>
          <t>Aksessuarlar</t>
        </is>
      </c>
      <c r="B69" s="4" t="inlineStr">
        <is>
          <t>1m LC–LC OS2 Single Mode zirhli optik patch kabel (ichki OFCR, 3.0mm)</t>
        </is>
      </c>
      <c r="C69" s="5" t="inlineStr"/>
      <c r="D69" s="5" t="n">
        <v>1490720</v>
      </c>
      <c r="E69" s="5" t="n">
        <v>1331000</v>
      </c>
      <c r="F69" s="5" t="inlineStr"/>
      <c r="G69" s="5" t="inlineStr"/>
      <c r="H69" s="5">
        <f>HYPERLINK("https://itrix.uz/product/581", "🔗 Mahsulot sotib olish")</f>
        <v/>
      </c>
      <c r="I69" t="inlineStr">
        <is>
          <t>2-581-540</t>
        </is>
      </c>
    </row>
    <row r="70" ht="30" customHeight="1">
      <c r="A70" s="4" t="inlineStr">
        <is>
          <t>Protsessorlar</t>
        </is>
      </c>
      <c r="B70" s="4" t="inlineStr">
        <is>
          <t>Intel Xeon Silver 4316 (2.3GHz/20-core/150W)</t>
        </is>
      </c>
      <c r="C70" s="5" t="inlineStr"/>
      <c r="D70" s="5" t="n">
        <v>17075520</v>
      </c>
      <c r="E70" s="5" t="n">
        <v>15246000</v>
      </c>
      <c r="F70" s="5" t="inlineStr"/>
      <c r="G70" s="5" t="inlineStr">
        <is>
          <t>Intel</t>
        </is>
      </c>
      <c r="H70" s="5">
        <f>HYPERLINK("https://itrix.uz/product/342", "🔗 Mahsulot sotib olish")</f>
        <v/>
      </c>
      <c r="I70" t="inlineStr">
        <is>
          <t>2-342-344</t>
        </is>
      </c>
    </row>
    <row r="71" ht="30" customHeight="1">
      <c r="A71" s="4" t="inlineStr">
        <is>
          <t>Aksessuarlar</t>
        </is>
      </c>
      <c r="B71" s="4" t="inlineStr">
        <is>
          <t>HPE Mellanox MCX631102AS-ADAT Ethernet 10/25Gb 2-port SFP tarmoq adapteri</t>
        </is>
      </c>
      <c r="C71" s="5" t="inlineStr"/>
      <c r="D71" s="5" t="n">
        <v>6938624</v>
      </c>
      <c r="E71" s="5" t="n">
        <v>6195200</v>
      </c>
      <c r="F71" s="5" t="inlineStr"/>
      <c r="G71" s="5" t="inlineStr">
        <is>
          <t>HPE</t>
        </is>
      </c>
      <c r="H71" s="5">
        <f>HYPERLINK("https://itrix.uz/product/136", "🔗 Mahsulot sotib olish")</f>
        <v/>
      </c>
      <c r="I71" t="inlineStr">
        <is>
          <t>2-136-142</t>
        </is>
      </c>
    </row>
    <row r="72" ht="30" customHeight="1">
      <c r="A72" s="4" t="inlineStr">
        <is>
          <t>SSD qattiq disklari</t>
        </is>
      </c>
      <c r="B72" s="4" t="inlineStr">
        <is>
          <t>DELL 1.92TB / SATA / RI / SSD</t>
        </is>
      </c>
      <c r="C72" s="5" t="inlineStr"/>
      <c r="D72" s="5" t="n">
        <v>11085536</v>
      </c>
      <c r="E72" s="5" t="n">
        <v>9897800</v>
      </c>
      <c r="F72" s="5" t="inlineStr"/>
      <c r="G72" s="5" t="inlineStr">
        <is>
          <t>Dell</t>
        </is>
      </c>
      <c r="H72" s="5">
        <f>HYPERLINK("https://itrix.uz/product/54", "🔗 Mahsulot sotib olish")</f>
        <v/>
      </c>
      <c r="I72" t="inlineStr">
        <is>
          <t>2-54-60</t>
        </is>
      </c>
    </row>
    <row r="73" ht="30" customHeight="1">
      <c r="A73" s="4" t="inlineStr">
        <is>
          <t>Protsessorlar</t>
        </is>
      </c>
      <c r="B73" s="4" t="inlineStr">
        <is>
          <t>Intel Xeon Gold 5315Y (3.2GHz/8-core/140W)</t>
        </is>
      </c>
      <c r="C73" s="5" t="inlineStr"/>
      <c r="D73" s="5" t="n">
        <v>18891488</v>
      </c>
      <c r="E73" s="5" t="n">
        <v>16867400</v>
      </c>
      <c r="F73" s="5" t="inlineStr"/>
      <c r="G73" s="5" t="inlineStr">
        <is>
          <t>Intel</t>
        </is>
      </c>
      <c r="H73" s="5">
        <f>HYPERLINK("https://itrix.uz/product/347", "🔗 Mahsulot sotib olish")</f>
        <v/>
      </c>
      <c r="I73" t="inlineStr">
        <is>
          <t>2-347-349</t>
        </is>
      </c>
    </row>
    <row r="74" ht="30" customHeight="1">
      <c r="A74" s="4" t="inlineStr">
        <is>
          <t>HDD qattiq disklari</t>
        </is>
      </c>
      <c r="B74" s="4" t="inlineStr">
        <is>
          <t>WD Red Plus 4TB (SATA III, 5400 rpm, 3.5") qattiq diski</t>
        </is>
      </c>
      <c r="C74" s="5" t="inlineStr"/>
      <c r="D74" s="5" t="n">
        <v>1694000</v>
      </c>
      <c r="E74" s="5" t="n">
        <v>1512500</v>
      </c>
      <c r="F74" s="5" t="inlineStr"/>
      <c r="G74" s="5" t="inlineStr">
        <is>
          <t>Western Digital</t>
        </is>
      </c>
      <c r="H74" s="5">
        <f>HYPERLINK("https://itrix.uz/product/39", "🔗 Mahsulot sotib olish")</f>
        <v/>
      </c>
      <c r="I74" t="inlineStr">
        <is>
          <t>2-39-45</t>
        </is>
      </c>
    </row>
    <row r="75" ht="30" customHeight="1">
      <c r="A75" s="4" t="inlineStr">
        <is>
          <t>NVME</t>
        </is>
      </c>
      <c r="B75" s="4" t="inlineStr">
        <is>
          <t>1.6TB PCI-e NVMe Mix Use Express Flash xotira qurilmasi</t>
        </is>
      </c>
      <c r="C75" s="5" t="inlineStr"/>
      <c r="D75" s="5" t="n">
        <v>9716784</v>
      </c>
      <c r="E75" s="5" t="n">
        <v>8675700</v>
      </c>
      <c r="F75" s="5" t="inlineStr"/>
      <c r="G75" s="5" t="inlineStr">
        <is>
          <t>Dell</t>
        </is>
      </c>
      <c r="H75" s="5">
        <f>HYPERLINK("https://itrix.uz/product/96", "🔗 Mahsulot sotib olish")</f>
        <v/>
      </c>
      <c r="I75" t="inlineStr">
        <is>
          <t>2-96-102</t>
        </is>
      </c>
    </row>
    <row r="76" ht="30" customHeight="1">
      <c r="A76" s="4" t="inlineStr">
        <is>
          <t>HDD qattiq disklari</t>
        </is>
      </c>
      <c r="B76" s="4" t="inlineStr">
        <is>
          <t>HPE 2.4TB SAS 10000 rpm (2.5", SFF) qattiq diski</t>
        </is>
      </c>
      <c r="C76" s="5" t="inlineStr"/>
      <c r="D76" s="5" t="n">
        <v>3916528</v>
      </c>
      <c r="E76" s="5" t="n">
        <v>3496900</v>
      </c>
      <c r="F76" s="5" t="inlineStr"/>
      <c r="G76" s="5" t="inlineStr">
        <is>
          <t>HPE</t>
        </is>
      </c>
      <c r="H76" s="5">
        <f>HYPERLINK("https://itrix.uz/product/42", "🔗 Mahsulot sotib olish")</f>
        <v/>
      </c>
      <c r="I76" t="inlineStr">
        <is>
          <t>2-42-48</t>
        </is>
      </c>
    </row>
    <row r="77" ht="30" customHeight="1">
      <c r="A77" s="4" t="inlineStr">
        <is>
          <t>Tezkor xotira (RAM)</t>
        </is>
      </c>
      <c r="B77" s="4" t="inlineStr">
        <is>
          <t>HPE 128GB (1x128GB) DDR5-6400 xotira moduli, Dual Rank, Registered Smart Memory</t>
        </is>
      </c>
      <c r="C77" s="5" t="inlineStr"/>
      <c r="D77" s="5" t="n">
        <v>27781600</v>
      </c>
      <c r="E77" s="5" t="n">
        <v>24805000</v>
      </c>
      <c r="F77" s="5" t="inlineStr"/>
      <c r="G77" s="5" t="inlineStr"/>
      <c r="H77" s="5">
        <f>HYPERLINK("https://itrix.uz/product/539", "🔗 Mahsulot sotib olish")</f>
        <v/>
      </c>
      <c r="I77" t="inlineStr">
        <is>
          <t>2-539-504</t>
        </is>
      </c>
    </row>
    <row r="78" ht="30" customHeight="1">
      <c r="A78" s="4" t="inlineStr">
        <is>
          <t>SSD qattiq disklari</t>
        </is>
      </c>
      <c r="B78" s="4" t="inlineStr">
        <is>
          <t>HPE 960GB SATA RI SSD xotira qurilmasi</t>
        </is>
      </c>
      <c r="C78" s="5" t="inlineStr"/>
      <c r="D78" s="5" t="n">
        <v>5041344</v>
      </c>
      <c r="E78" s="5" t="n">
        <v>4501200</v>
      </c>
      <c r="F78" s="5" t="inlineStr"/>
      <c r="G78" s="5" t="inlineStr">
        <is>
          <t>HPE</t>
        </is>
      </c>
      <c r="H78" s="5">
        <f>HYPERLINK("https://itrix.uz/product/73", "🔗 Mahsulot sotib olish")</f>
        <v/>
      </c>
      <c r="I78" t="inlineStr">
        <is>
          <t>2-73-79</t>
        </is>
      </c>
    </row>
    <row r="79" ht="30" customHeight="1">
      <c r="A79" s="4" t="inlineStr">
        <is>
          <t>Tezkor xotira (RAM)</t>
        </is>
      </c>
      <c r="B79" s="4" t="inlineStr">
        <is>
          <t>Samsung 32GB DDR4-3200 UDIMM operativ xotira</t>
        </is>
      </c>
      <c r="C79" s="5" t="inlineStr"/>
      <c r="D79" s="5" t="n">
        <v>2615536</v>
      </c>
      <c r="E79" s="5" t="n">
        <v>2335300</v>
      </c>
      <c r="F79" s="5" t="inlineStr"/>
      <c r="G79" s="5" t="inlineStr">
        <is>
          <t>Samsung</t>
        </is>
      </c>
      <c r="H79" s="5">
        <f>HYPERLINK("https://itrix.uz/product/78", "🔗 Mahsulot sotib olish")</f>
        <v/>
      </c>
      <c r="I79" t="inlineStr">
        <is>
          <t>2-78-84</t>
        </is>
      </c>
    </row>
    <row r="80" ht="30" customHeight="1">
      <c r="A80" s="4" t="inlineStr">
        <is>
          <t>HDD qattiq disklari</t>
        </is>
      </c>
      <c r="B80" s="4" t="inlineStr">
        <is>
          <t>Seagate Exos X16 12TB SATA 7200 rpm (3.5", LFF) qattiq diski</t>
        </is>
      </c>
      <c r="C80" s="5" t="inlineStr"/>
      <c r="D80" s="5" t="n">
        <v>5027792</v>
      </c>
      <c r="E80" s="5" t="n">
        <v>4489100</v>
      </c>
      <c r="F80" s="5" t="inlineStr"/>
      <c r="G80" s="5" t="inlineStr">
        <is>
          <t>Seagate</t>
        </is>
      </c>
      <c r="H80" s="5">
        <f>HYPERLINK("https://itrix.uz/product/43", "🔗 Mahsulot sotib olish")</f>
        <v/>
      </c>
      <c r="I80" t="inlineStr">
        <is>
          <t>2-43-49</t>
        </is>
      </c>
    </row>
    <row r="81" ht="30" customHeight="1">
      <c r="A81" s="4" t="inlineStr">
        <is>
          <t>HDD qattiq disklari</t>
        </is>
      </c>
      <c r="B81" s="4" t="inlineStr">
        <is>
          <t>DELL 2TB SAS 7200 rpm (3.5", LFF) qattiq diski</t>
        </is>
      </c>
      <c r="C81" s="5" t="inlineStr"/>
      <c r="D81" s="5" t="n">
        <v>2615536</v>
      </c>
      <c r="E81" s="5" t="n">
        <v>2335300</v>
      </c>
      <c r="F81" s="5" t="inlineStr"/>
      <c r="G81" s="5" t="inlineStr">
        <is>
          <t>Dell</t>
        </is>
      </c>
      <c r="H81" s="5">
        <f>HYPERLINK("https://itrix.uz/product/46", "🔗 Mahsulot sotib olish")</f>
        <v/>
      </c>
      <c r="I81" t="inlineStr">
        <is>
          <t>2-46-52</t>
        </is>
      </c>
    </row>
    <row r="82" ht="30" customHeight="1">
      <c r="A82" s="4" t="inlineStr">
        <is>
          <t>Tezkor xotira (RAM)</t>
        </is>
      </c>
      <c r="B82" s="4" t="inlineStr">
        <is>
          <t>HPE 32GB DDR4-3200 operativ xotira</t>
        </is>
      </c>
      <c r="C82" s="5" t="inlineStr"/>
      <c r="D82" s="5" t="n">
        <v>1531376</v>
      </c>
      <c r="E82" s="5" t="n">
        <v>1367300</v>
      </c>
      <c r="F82" s="5" t="inlineStr"/>
      <c r="G82" s="5" t="inlineStr">
        <is>
          <t>HPE</t>
        </is>
      </c>
      <c r="H82" s="5">
        <f>HYPERLINK("https://itrix.uz/product/88", "🔗 Mahsulot sotib olish")</f>
        <v/>
      </c>
      <c r="I82" t="inlineStr">
        <is>
          <t>2-88-94</t>
        </is>
      </c>
    </row>
    <row r="83" ht="30" customHeight="1">
      <c r="A83" s="4" t="inlineStr">
        <is>
          <t>SSD qattiq disklari</t>
        </is>
      </c>
      <c r="B83" s="4" t="inlineStr">
        <is>
          <t>HPE 480GB PM1633a SAS RI SSD xotira qurilmasi</t>
        </is>
      </c>
      <c r="C83" s="5" t="inlineStr"/>
      <c r="D83" s="5" t="n">
        <v>5217520</v>
      </c>
      <c r="E83" s="5" t="n">
        <v>4658500</v>
      </c>
      <c r="F83" s="5" t="inlineStr"/>
      <c r="G83" s="5" t="inlineStr">
        <is>
          <t>HPE</t>
        </is>
      </c>
      <c r="H83" s="5">
        <f>HYPERLINK("https://itrix.uz/product/75", "🔗 Mahsulot sotib olish")</f>
        <v/>
      </c>
      <c r="I83" t="inlineStr">
        <is>
          <t>2-75-81</t>
        </is>
      </c>
    </row>
    <row r="84" ht="30" customHeight="1">
      <c r="A84" s="4" t="inlineStr">
        <is>
          <t>Tezkor xotira (RAM)</t>
        </is>
      </c>
      <c r="B84" s="4" t="inlineStr">
        <is>
          <t>Samsung / SK hynix 16GB DDR4-2933 operativ xotira</t>
        </is>
      </c>
      <c r="C84" s="5" t="inlineStr"/>
      <c r="D84" s="5" t="n">
        <v>1300992</v>
      </c>
      <c r="E84" s="5" t="n">
        <v>1161600</v>
      </c>
      <c r="F84" s="5" t="inlineStr"/>
      <c r="G84" s="5" t="inlineStr">
        <is>
          <t>Samsung</t>
        </is>
      </c>
      <c r="H84" s="5">
        <f>HYPERLINK("https://itrix.uz/product/84", "🔗 Mahsulot sotib olish")</f>
        <v/>
      </c>
      <c r="I84" t="inlineStr">
        <is>
          <t>2-84-90</t>
        </is>
      </c>
    </row>
    <row r="85" ht="30" customHeight="1">
      <c r="A85" s="4" t="inlineStr">
        <is>
          <t>Korpuslar</t>
        </is>
      </c>
      <c r="B85" s="4" t="inlineStr">
        <is>
          <t xml:space="preserve"> HPE Apollo 4510 Gen10 4U 60 LFF serveri</t>
        </is>
      </c>
      <c r="C85" s="5" t="inlineStr"/>
      <c r="D85" s="5" t="n">
        <v>0</v>
      </c>
      <c r="E85" s="5" t="n">
        <v>0</v>
      </c>
      <c r="F85" s="5" t="inlineStr"/>
      <c r="G85" s="5" t="inlineStr">
        <is>
          <t>HPE</t>
        </is>
      </c>
      <c r="H85" s="5">
        <f>HYPERLINK("https://itrix.uz/product/445", "🔗 Mahsulot sotib olish")</f>
        <v/>
      </c>
      <c r="I85" t="inlineStr">
        <is>
          <t>2-445-429</t>
        </is>
      </c>
    </row>
    <row r="86" ht="30" customHeight="1">
      <c r="A86" s="4" t="inlineStr">
        <is>
          <t>HDD qattiq disklari</t>
        </is>
      </c>
      <c r="B86" s="4" t="inlineStr">
        <is>
          <t>DELL 18TB SAS 7200 rpm (3.5", LFF) qattiq diski</t>
        </is>
      </c>
      <c r="C86" s="5" t="inlineStr"/>
      <c r="D86" s="5" t="n">
        <v>6518512</v>
      </c>
      <c r="E86" s="5" t="n">
        <v>5820100</v>
      </c>
      <c r="F86" s="5" t="inlineStr"/>
      <c r="G86" s="5" t="inlineStr">
        <is>
          <t>Dell</t>
        </is>
      </c>
      <c r="H86" s="5">
        <f>HYPERLINK("https://itrix.uz/product/48", "🔗 Mahsulot sotib olish")</f>
        <v/>
      </c>
      <c r="I86" t="inlineStr">
        <is>
          <t>2-48-54</t>
        </is>
      </c>
    </row>
    <row r="87" ht="30" customHeight="1">
      <c r="A87" s="4" t="inlineStr">
        <is>
          <t>Aksessuarlar</t>
        </is>
      </c>
      <c r="B87" s="4" t="inlineStr">
        <is>
          <t xml:space="preserve">HPE Broadcom BCM57416 Ethernet 10Gb 2-port BASE-T tarmoq adapteri </t>
        </is>
      </c>
      <c r="C87" s="5" t="inlineStr"/>
      <c r="D87" s="5" t="n">
        <v>4865168</v>
      </c>
      <c r="E87" s="5" t="n">
        <v>4343900</v>
      </c>
      <c r="F87" s="5" t="inlineStr"/>
      <c r="G87" s="5" t="inlineStr">
        <is>
          <t>HPE</t>
        </is>
      </c>
      <c r="H87" s="5">
        <f>HYPERLINK("https://itrix.uz/product/134", "🔗 Mahsulot sotib olish")</f>
        <v/>
      </c>
      <c r="I87" t="inlineStr">
        <is>
          <t>2-134-140</t>
        </is>
      </c>
    </row>
    <row r="88" ht="30" customHeight="1">
      <c r="A88" s="4" t="inlineStr">
        <is>
          <t>Tezkor xotira (RAM)</t>
        </is>
      </c>
      <c r="B88" s="4" t="inlineStr">
        <is>
          <t>HPE 8GB DDR4-3200 STND Kit operativ xotira</t>
        </is>
      </c>
      <c r="C88" s="5" t="inlineStr"/>
      <c r="D88" s="5" t="n">
        <v>1043504</v>
      </c>
      <c r="E88" s="5" t="n">
        <v>931700</v>
      </c>
      <c r="F88" s="5" t="inlineStr"/>
      <c r="G88" s="5" t="inlineStr">
        <is>
          <t>HPE</t>
        </is>
      </c>
      <c r="H88" s="5">
        <f>HYPERLINK("https://itrix.uz/product/87", "🔗 Mahsulot sotib olish")</f>
        <v/>
      </c>
      <c r="I88" t="inlineStr">
        <is>
          <t>2-87-93</t>
        </is>
      </c>
    </row>
    <row r="89" ht="30" customHeight="1">
      <c r="A89" s="4" t="inlineStr">
        <is>
          <t>Protsessorlar</t>
        </is>
      </c>
      <c r="B89" s="4" t="inlineStr">
        <is>
          <t>Intel Xeon Gold 5318Y (2.1GHz/24-core/165W)</t>
        </is>
      </c>
      <c r="C89" s="5" t="inlineStr"/>
      <c r="D89" s="5" t="n">
        <v>18322304</v>
      </c>
      <c r="E89" s="5" t="n">
        <v>16359200</v>
      </c>
      <c r="F89" s="5" t="inlineStr"/>
      <c r="G89" s="5" t="inlineStr">
        <is>
          <t>Intel</t>
        </is>
      </c>
      <c r="H89" s="5">
        <f>HYPERLINK("https://itrix.uz/product/349", "🔗 Mahsulot sotib olish")</f>
        <v/>
      </c>
      <c r="I89" t="inlineStr">
        <is>
          <t>2-349-351</t>
        </is>
      </c>
    </row>
    <row r="90" ht="30" customHeight="1">
      <c r="A90" s="4" t="inlineStr">
        <is>
          <t>Aksessuarlar</t>
        </is>
      </c>
      <c r="B90" s="4" t="inlineStr">
        <is>
          <t xml:space="preserve"> Synology RKS1317 stoykaga o‘rnatish to‘plami</t>
        </is>
      </c>
      <c r="C90" s="5" t="inlineStr"/>
      <c r="D90" s="5" t="n">
        <v>1477168</v>
      </c>
      <c r="E90" s="5" t="n">
        <v>1318900</v>
      </c>
      <c r="F90" s="5" t="inlineStr"/>
      <c r="G90" s="5" t="inlineStr">
        <is>
          <t>Synology</t>
        </is>
      </c>
      <c r="H90" s="5">
        <f>HYPERLINK("https://itrix.uz/product/281", "🔗 Mahsulot sotib olish")</f>
        <v/>
      </c>
      <c r="I90" t="inlineStr">
        <is>
          <t>2-281-283</t>
        </is>
      </c>
    </row>
    <row r="91" ht="30" customHeight="1">
      <c r="A91" s="4" t="inlineStr">
        <is>
          <t>RAID-kontroller</t>
        </is>
      </c>
      <c r="B91" s="4" t="inlineStr">
        <is>
          <t>RAID kontroller HPE MR416i-p Gen11 x16 Lanes 8GB Cache PCI SPDM Plug-in Storage Controller</t>
        </is>
      </c>
      <c r="C91" s="5" t="inlineStr"/>
      <c r="D91" s="5" t="n">
        <v>15083</v>
      </c>
      <c r="E91" s="5" t="n">
        <v>13467</v>
      </c>
      <c r="F91" s="5" t="inlineStr"/>
      <c r="G91" s="5" t="inlineStr">
        <is>
          <t>HPE</t>
        </is>
      </c>
      <c r="H91" s="5">
        <f>HYPERLINK("https://itrix.uz/product/524", "🔗 Mahsulot sotib olish")</f>
        <v/>
      </c>
      <c r="I91" t="inlineStr">
        <is>
          <t>2-524-498</t>
        </is>
      </c>
    </row>
    <row r="92" ht="30" customHeight="1">
      <c r="A92" s="4" t="inlineStr">
        <is>
          <t>Tezkor xotira (RAM)</t>
        </is>
      </c>
      <c r="B92" s="4" t="inlineStr">
        <is>
          <t>HPE 64GB DDR4-3200 operativ xotira</t>
        </is>
      </c>
      <c r="C92" s="5" t="inlineStr"/>
      <c r="D92" s="5" t="n">
        <v>2507120</v>
      </c>
      <c r="E92" s="5" t="n">
        <v>2238500</v>
      </c>
      <c r="F92" s="5" t="inlineStr"/>
      <c r="G92" s="5" t="inlineStr">
        <is>
          <t>HPE</t>
        </is>
      </c>
      <c r="H92" s="5">
        <f>HYPERLINK("https://itrix.uz/product/94", "🔗 Mahsulot sotib olish")</f>
        <v/>
      </c>
      <c r="I92" t="inlineStr">
        <is>
          <t>2-94-100</t>
        </is>
      </c>
    </row>
    <row r="93" ht="30" customHeight="1">
      <c r="A93" s="4" t="inlineStr">
        <is>
          <t>Aksessuarlar</t>
        </is>
      </c>
      <c r="B93" s="4" t="inlineStr">
        <is>
          <t>DELL iDRAC9 Enterprise masofaviy kirish boshqaruvchisi</t>
        </is>
      </c>
      <c r="C93" s="5" t="inlineStr"/>
      <c r="D93" s="5" t="n">
        <v>284592</v>
      </c>
      <c r="E93" s="5" t="n">
        <v>254100</v>
      </c>
      <c r="F93" s="5" t="inlineStr"/>
      <c r="G93" s="5" t="inlineStr">
        <is>
          <t>Dell</t>
        </is>
      </c>
      <c r="H93" s="5">
        <f>HYPERLINK("https://itrix.uz/product/137", "🔗 Mahsulot sotib olish")</f>
        <v/>
      </c>
      <c r="I93" t="inlineStr">
        <is>
          <t>2-137-143</t>
        </is>
      </c>
    </row>
    <row r="94" ht="30" customHeight="1">
      <c r="A94" s="4" t="inlineStr">
        <is>
          <t>SSD qattiq disklari</t>
        </is>
      </c>
      <c r="B94" s="4" t="inlineStr">
        <is>
          <t>HPE 3.84TB NVMe RI SAS SSD</t>
        </is>
      </c>
      <c r="C94" s="5" t="inlineStr"/>
      <c r="D94" s="5" t="n">
        <v>19569088</v>
      </c>
      <c r="E94" s="5" t="n">
        <v>17472400</v>
      </c>
      <c r="F94" s="5" t="inlineStr"/>
      <c r="G94" s="5" t="inlineStr">
        <is>
          <t>HPE</t>
        </is>
      </c>
      <c r="H94" s="5">
        <f>HYPERLINK("https://itrix.uz/product/51", "🔗 Mahsulot sotib olish")</f>
        <v/>
      </c>
      <c r="I94" t="inlineStr">
        <is>
          <t>2-51-57</t>
        </is>
      </c>
    </row>
    <row r="95" ht="30" customHeight="1">
      <c r="A95" s="4" t="inlineStr">
        <is>
          <t>Aksessuarlar</t>
        </is>
      </c>
      <c r="B95" s="4" t="inlineStr">
        <is>
          <t>HPE Intel l350-T4 ethernet 1GB 4-port BASE-T tarmoq adapteri</t>
        </is>
      </c>
      <c r="C95" s="5" t="inlineStr"/>
      <c r="D95" s="5" t="n">
        <v>555632</v>
      </c>
      <c r="E95" s="5" t="n">
        <v>496100</v>
      </c>
      <c r="F95" s="5" t="inlineStr"/>
      <c r="G95" s="5" t="inlineStr">
        <is>
          <t>HPE</t>
        </is>
      </c>
      <c r="H95" s="5">
        <f>HYPERLINK("https://itrix.uz/product/135", "🔗 Mahsulot sotib olish")</f>
        <v/>
      </c>
      <c r="I95" t="inlineStr">
        <is>
          <t>2-135-141</t>
        </is>
      </c>
    </row>
    <row r="96" ht="30" customHeight="1">
      <c r="A96" s="4" t="inlineStr">
        <is>
          <t>Protsessorlar</t>
        </is>
      </c>
      <c r="B96" s="4" t="inlineStr">
        <is>
          <t>Intel Xeon Gold 5320 (2.2GHz/26-core/185W)</t>
        </is>
      </c>
      <c r="C96" s="5" t="inlineStr"/>
      <c r="D96" s="5" t="n">
        <v>17604048</v>
      </c>
      <c r="E96" s="5" t="n">
        <v>15717900</v>
      </c>
      <c r="F96" s="5" t="inlineStr"/>
      <c r="G96" s="5" t="inlineStr">
        <is>
          <t>Intel</t>
        </is>
      </c>
      <c r="H96" s="5">
        <f>HYPERLINK("https://itrix.uz/product/350", "🔗 Mahsulot sotib olish")</f>
        <v/>
      </c>
      <c r="I96" t="inlineStr">
        <is>
          <t>2-350-352</t>
        </is>
      </c>
    </row>
    <row r="97" ht="30" customHeight="1">
      <c r="A97" s="4" t="inlineStr">
        <is>
          <t>RAID-kontroller</t>
        </is>
      </c>
      <c r="B97" s="4" t="inlineStr">
        <is>
          <t>DELL PERC H745 4Gb RAID 12Gb/s apparat RAID nazoratchisi</t>
        </is>
      </c>
      <c r="C97" s="5" t="inlineStr"/>
      <c r="D97" s="5" t="n">
        <v>6938624</v>
      </c>
      <c r="E97" s="5" t="n">
        <v>6195200</v>
      </c>
      <c r="F97" s="5" t="inlineStr"/>
      <c r="G97" s="5" t="inlineStr">
        <is>
          <t>Dell</t>
        </is>
      </c>
      <c r="H97" s="5">
        <f>HYPERLINK("https://itrix.uz/product/152", "🔗 Mahsulot sotib olish")</f>
        <v/>
      </c>
      <c r="I97" t="inlineStr">
        <is>
          <t>2-152-158</t>
        </is>
      </c>
    </row>
    <row r="98" ht="30" customHeight="1">
      <c r="A98" s="4" t="inlineStr">
        <is>
          <t>Tezkor xotira (RAM)</t>
        </is>
      </c>
      <c r="B98" s="4" t="inlineStr">
        <is>
          <t>Dell 128GB DDR4-3200 LRDIMM xotira moduli, 4Rx4 konfiguratsiya</t>
        </is>
      </c>
      <c r="C98" s="5" t="inlineStr"/>
      <c r="D98" s="5" t="n">
        <v>17400768</v>
      </c>
      <c r="E98" s="5" t="n">
        <v>15536400</v>
      </c>
      <c r="F98" s="5" t="inlineStr"/>
      <c r="G98" s="5" t="inlineStr">
        <is>
          <t>Dell</t>
        </is>
      </c>
      <c r="H98" s="5">
        <f>HYPERLINK("https://itrix.uz/product/550", "🔗 Mahsulot sotib olish")</f>
        <v/>
      </c>
      <c r="I98" t="inlineStr">
        <is>
          <t>2-550-513</t>
        </is>
      </c>
    </row>
    <row r="99" ht="30" customHeight="1">
      <c r="A99" s="4" t="inlineStr">
        <is>
          <t>SSD qattiq disklari</t>
        </is>
      </c>
      <c r="B99" s="4" t="inlineStr">
        <is>
          <t>DELL 480GB / SATA / RI / SSD</t>
        </is>
      </c>
      <c r="C99" s="5" t="inlineStr"/>
      <c r="D99" s="5" t="n">
        <v>3252480</v>
      </c>
      <c r="E99" s="5" t="n">
        <v>2904000</v>
      </c>
      <c r="F99" s="5" t="inlineStr"/>
      <c r="G99" s="5" t="inlineStr">
        <is>
          <t>Dell</t>
        </is>
      </c>
      <c r="H99" s="5">
        <f>HYPERLINK("https://itrix.uz/product/53", "🔗 Mahsulot sotib olish")</f>
        <v/>
      </c>
      <c r="I99" t="inlineStr">
        <is>
          <t>2-53-59</t>
        </is>
      </c>
    </row>
    <row r="100" ht="30" customHeight="1">
      <c r="A100" s="4" t="inlineStr">
        <is>
          <t>Protsessorlar</t>
        </is>
      </c>
      <c r="B100" s="4" t="inlineStr">
        <is>
          <t>Intel Xeon-Gold 6234 (3.3GHz/8-core/130W)</t>
        </is>
      </c>
      <c r="C100" s="5" t="inlineStr"/>
      <c r="D100" s="5" t="n">
        <v>5136208</v>
      </c>
      <c r="E100" s="5" t="n">
        <v>4585900</v>
      </c>
      <c r="F100" s="5" t="inlineStr"/>
      <c r="G100" s="5" t="inlineStr">
        <is>
          <t>Intel</t>
        </is>
      </c>
      <c r="H100" s="5">
        <f>HYPERLINK("https://itrix.uz/product/352", "🔗 Mahsulot sotib olish")</f>
        <v/>
      </c>
      <c r="I100" t="inlineStr">
        <is>
          <t>2-352-354</t>
        </is>
      </c>
    </row>
    <row r="101" ht="30" customHeight="1">
      <c r="A101" s="4" t="inlineStr">
        <is>
          <t>Aksessuarlar</t>
        </is>
      </c>
      <c r="B101" s="4" t="inlineStr">
        <is>
          <t>Dell R750 High Performance CPU Heatsink protsessor radiatori</t>
        </is>
      </c>
      <c r="C101" s="5" t="inlineStr"/>
      <c r="D101" s="5" t="n">
        <v>1300992</v>
      </c>
      <c r="E101" s="5" t="n">
        <v>1161600</v>
      </c>
      <c r="F101" s="5" t="inlineStr"/>
      <c r="G101" s="5" t="inlineStr">
        <is>
          <t>Dell</t>
        </is>
      </c>
      <c r="H101" s="5">
        <f>HYPERLINK("https://itrix.uz/product/100", "🔗 Mahsulot sotib olish")</f>
        <v/>
      </c>
      <c r="I101" t="inlineStr">
        <is>
          <t>2-100-106</t>
        </is>
      </c>
    </row>
    <row r="102" ht="30" customHeight="1">
      <c r="A102" s="4" t="inlineStr">
        <is>
          <t>Protsessorlar</t>
        </is>
      </c>
      <c r="B102" s="4" t="inlineStr">
        <is>
          <t>Intel Xeon-Gold 5218 (2.3GHz/16-core/125W)</t>
        </is>
      </c>
      <c r="C102" s="5" t="inlineStr"/>
      <c r="D102" s="5" t="n">
        <v>10136896</v>
      </c>
      <c r="E102" s="5" t="n">
        <v>9050800</v>
      </c>
      <c r="F102" s="5" t="inlineStr"/>
      <c r="G102" s="5" t="inlineStr">
        <is>
          <t>Intel</t>
        </is>
      </c>
      <c r="H102" s="5">
        <f>HYPERLINK("https://itrix.uz/product/343", "🔗 Mahsulot sotib olish")</f>
        <v/>
      </c>
      <c r="I102" t="inlineStr">
        <is>
          <t>2-343-345</t>
        </is>
      </c>
    </row>
    <row r="103" ht="30" customHeight="1">
      <c r="A103" s="4" t="inlineStr">
        <is>
          <t>Protsessorlar</t>
        </is>
      </c>
      <c r="B103" s="4" t="inlineStr">
        <is>
          <t>Intel Xeon-Gold 6248R (3.0GHz/24-core/205W)</t>
        </is>
      </c>
      <c r="C103" s="5" t="inlineStr"/>
      <c r="D103" s="5" t="n">
        <v>28052640</v>
      </c>
      <c r="E103" s="5" t="n">
        <v>25047000</v>
      </c>
      <c r="F103" s="5" t="inlineStr"/>
      <c r="G103" s="5" t="inlineStr">
        <is>
          <t>Intel</t>
        </is>
      </c>
      <c r="H103" s="5">
        <f>HYPERLINK("https://itrix.uz/product/353", "🔗 Mahsulot sotib olish")</f>
        <v/>
      </c>
      <c r="I103" t="inlineStr">
        <is>
          <t>2-353-355</t>
        </is>
      </c>
    </row>
    <row r="104" ht="30" customHeight="1">
      <c r="A104" s="4" t="inlineStr">
        <is>
          <t>Protsessorlar</t>
        </is>
      </c>
      <c r="B104" s="4" t="inlineStr">
        <is>
          <t>Intel Xeon Gold 6348 (2.6GHz/28-core/235W)</t>
        </is>
      </c>
      <c r="C104" s="5" t="inlineStr"/>
      <c r="D104" s="5" t="n">
        <v>34720224</v>
      </c>
      <c r="E104" s="5" t="n">
        <v>31000200</v>
      </c>
      <c r="F104" s="5" t="inlineStr"/>
      <c r="G104" s="5" t="inlineStr">
        <is>
          <t>Intel</t>
        </is>
      </c>
      <c r="H104" s="5">
        <f>HYPERLINK("https://itrix.uz/product/361", "🔗 Mahsulot sotib olish")</f>
        <v/>
      </c>
      <c r="I104" t="inlineStr">
        <is>
          <t>2-361-363</t>
        </is>
      </c>
    </row>
    <row r="105" ht="30" customHeight="1">
      <c r="A105" s="4" t="inlineStr">
        <is>
          <t>Aksessuarlar</t>
        </is>
      </c>
      <c r="B105" s="4" t="inlineStr">
        <is>
          <t>HPE DL380 G10 High Performance Fan ventilyator moduli</t>
        </is>
      </c>
      <c r="C105" s="5" t="inlineStr"/>
      <c r="D105" s="5" t="n">
        <v>650496</v>
      </c>
      <c r="E105" s="5" t="n">
        <v>580800</v>
      </c>
      <c r="F105" s="5" t="inlineStr"/>
      <c r="G105" s="5" t="inlineStr">
        <is>
          <t>HPE</t>
        </is>
      </c>
      <c r="H105" s="5">
        <f>HYPERLINK("https://itrix.uz/product/108", "🔗 Mahsulot sotib olish")</f>
        <v/>
      </c>
      <c r="I105" t="inlineStr">
        <is>
          <t>2-108-114</t>
        </is>
      </c>
    </row>
    <row r="106" ht="30" customHeight="1">
      <c r="A106" s="4" t="inlineStr">
        <is>
          <t>SSD qattiq disklari</t>
        </is>
      </c>
      <c r="B106" s="4" t="inlineStr">
        <is>
          <t>HPE 480GB / SATA / RI / SSD</t>
        </is>
      </c>
      <c r="C106" s="5" t="inlineStr"/>
      <c r="D106" s="5" t="n">
        <v>5217520</v>
      </c>
      <c r="E106" s="5" t="n">
        <v>4658500</v>
      </c>
      <c r="F106" s="5" t="inlineStr"/>
      <c r="G106" s="5" t="inlineStr">
        <is>
          <t>HPE</t>
        </is>
      </c>
      <c r="H106" s="5">
        <f>HYPERLINK("https://itrix.uz/product/55", "🔗 Mahsulot sotib olish")</f>
        <v/>
      </c>
      <c r="I106" t="inlineStr">
        <is>
          <t>2-55-61</t>
        </is>
      </c>
    </row>
    <row r="107" ht="30" customHeight="1">
      <c r="A107" s="4" t="inlineStr">
        <is>
          <t>Aksessuarlar</t>
        </is>
      </c>
      <c r="B107" s="4" t="inlineStr">
        <is>
          <t xml:space="preserve"> Synology 10GbE BASE-T Ethernet tarmoq kartasi</t>
        </is>
      </c>
      <c r="C107" s="5" t="inlineStr"/>
      <c r="D107" s="5" t="n">
        <v>2168320</v>
      </c>
      <c r="E107" s="5" t="n">
        <v>1936000</v>
      </c>
      <c r="F107" s="5" t="inlineStr"/>
      <c r="G107" s="5" t="inlineStr">
        <is>
          <t>Synology</t>
        </is>
      </c>
      <c r="H107" s="5">
        <f>HYPERLINK("https://itrix.uz/product/269", "🔗 Mahsulot sotib olish")</f>
        <v/>
      </c>
      <c r="I107" t="inlineStr">
        <is>
          <t>2-269-271</t>
        </is>
      </c>
    </row>
    <row r="108" ht="30" customHeight="1">
      <c r="A108" s="4" t="inlineStr">
        <is>
          <t>SSD qattiq disklari</t>
        </is>
      </c>
      <c r="B108" s="4" t="inlineStr">
        <is>
          <t>DELL 3.84TB / SAS / RI / SSD</t>
        </is>
      </c>
      <c r="C108" s="5" t="inlineStr"/>
      <c r="D108" s="5" t="n">
        <v>19569088</v>
      </c>
      <c r="E108" s="5" t="n">
        <v>17472400</v>
      </c>
      <c r="F108" s="5" t="inlineStr"/>
      <c r="G108" s="5" t="inlineStr">
        <is>
          <t>Dell</t>
        </is>
      </c>
      <c r="H108" s="5">
        <f>HYPERLINK("https://itrix.uz/product/56", "🔗 Mahsulot sotib olish")</f>
        <v/>
      </c>
      <c r="I108" t="inlineStr">
        <is>
          <t>2-56-62</t>
        </is>
      </c>
    </row>
    <row r="109" ht="30" customHeight="1">
      <c r="A109" s="4" t="inlineStr">
        <is>
          <t>Korpuslar</t>
        </is>
      </c>
      <c r="B109" s="4" t="inlineStr">
        <is>
          <t xml:space="preserve"> Dell EMC PowerEdge C6520XD (C6400 shassisida) serveri</t>
        </is>
      </c>
      <c r="C109" s="5" t="inlineStr"/>
      <c r="D109" s="5" t="n">
        <v>321751584</v>
      </c>
      <c r="E109" s="5" t="n">
        <v>287278200</v>
      </c>
      <c r="F109" s="5" t="inlineStr"/>
      <c r="G109" s="5" t="inlineStr">
        <is>
          <t>Dell</t>
        </is>
      </c>
      <c r="H109" s="5">
        <f>HYPERLINK("https://itrix.uz/product/446", "🔗 Mahsulot sotib olish")</f>
        <v/>
      </c>
      <c r="I109" t="inlineStr">
        <is>
          <t>2-446-430</t>
        </is>
      </c>
    </row>
    <row r="110" ht="30" customHeight="1">
      <c r="A110" s="4" t="inlineStr">
        <is>
          <t>HDD qattiq disklari</t>
        </is>
      </c>
      <c r="B110" s="4" t="inlineStr">
        <is>
          <t>DELL 600GB SAS 15000 rpm (2.5", SFF) qattiq diski</t>
        </is>
      </c>
      <c r="C110" s="5" t="inlineStr"/>
      <c r="D110" s="5" t="n">
        <v>2087008</v>
      </c>
      <c r="E110" s="5" t="n">
        <v>1863400</v>
      </c>
      <c r="F110" s="5" t="inlineStr"/>
      <c r="G110" s="5" t="inlineStr">
        <is>
          <t>Dell</t>
        </is>
      </c>
      <c r="H110" s="5">
        <f>HYPERLINK("https://itrix.uz/product/40", "🔗 Mahsulot sotib olish")</f>
        <v/>
      </c>
      <c r="I110" t="inlineStr">
        <is>
          <t>2-40-46</t>
        </is>
      </c>
    </row>
    <row r="111" ht="30" customHeight="1">
      <c r="A111" s="4" t="inlineStr">
        <is>
          <t>Protsessorlar</t>
        </is>
      </c>
      <c r="B111" s="4" t="inlineStr">
        <is>
          <t>Intel Xeon Gold 5317 (3.0GHz/12-core/150W)</t>
        </is>
      </c>
      <c r="C111" s="5" t="inlineStr"/>
      <c r="D111" s="5" t="n">
        <v>17211040</v>
      </c>
      <c r="E111" s="5" t="n">
        <v>15367000</v>
      </c>
      <c r="F111" s="5" t="inlineStr"/>
      <c r="G111" s="5" t="inlineStr">
        <is>
          <t>Intel</t>
        </is>
      </c>
      <c r="H111" s="5">
        <f>HYPERLINK("https://itrix.uz/product/348", "🔗 Mahsulot sotib olish")</f>
        <v/>
      </c>
      <c r="I111" t="inlineStr">
        <is>
          <t>2-348-350</t>
        </is>
      </c>
    </row>
    <row r="112" ht="30" customHeight="1">
      <c r="A112" s="4" t="inlineStr">
        <is>
          <t>SSD qattiq disklari</t>
        </is>
      </c>
      <c r="B112" s="4" t="inlineStr">
        <is>
          <t>HPE 240GB / SATA / RI / SSD</t>
        </is>
      </c>
      <c r="C112" s="5" t="inlineStr"/>
      <c r="D112" s="5" t="n">
        <v>3266032</v>
      </c>
      <c r="E112" s="5" t="n">
        <v>2916100</v>
      </c>
      <c r="F112" s="5" t="inlineStr"/>
      <c r="G112" s="5" t="inlineStr">
        <is>
          <t>HPE</t>
        </is>
      </c>
      <c r="H112" s="5">
        <f>HYPERLINK("https://itrix.uz/product/57", "🔗 Mahsulot sotib olish")</f>
        <v/>
      </c>
      <c r="I112" t="inlineStr">
        <is>
          <t>2-57-63</t>
        </is>
      </c>
    </row>
    <row r="113" ht="30" customHeight="1">
      <c r="A113" s="4" t="inlineStr">
        <is>
          <t>Tezkor xotira (RAM)</t>
        </is>
      </c>
      <c r="B113" s="4" t="inlineStr">
        <is>
          <t>Samsung 8GB DDR4-2400 UDIMM operativ xotira</t>
        </is>
      </c>
      <c r="C113" s="5" t="inlineStr"/>
      <c r="D113" s="5" t="n">
        <v>257488</v>
      </c>
      <c r="E113" s="5" t="n">
        <v>229900</v>
      </c>
      <c r="F113" s="5" t="inlineStr"/>
      <c r="G113" s="5" t="inlineStr">
        <is>
          <t>Samsung</t>
        </is>
      </c>
      <c r="H113" s="5">
        <f>HYPERLINK("https://itrix.uz/product/76", "🔗 Mahsulot sotib olish")</f>
        <v/>
      </c>
      <c r="I113" t="inlineStr">
        <is>
          <t>2-76-82</t>
        </is>
      </c>
    </row>
    <row r="114" ht="30" customHeight="1">
      <c r="A114" s="4" t="inlineStr">
        <is>
          <t>Protsessorlar</t>
        </is>
      </c>
      <c r="B114" s="4" t="inlineStr">
        <is>
          <t>Intel Xeon-Silver 4215R (3.2GHz/8-core/130W)</t>
        </is>
      </c>
      <c r="C114" s="5" t="inlineStr"/>
      <c r="D114" s="5" t="n">
        <v>12494944</v>
      </c>
      <c r="E114" s="5" t="n">
        <v>11156200</v>
      </c>
      <c r="F114" s="5" t="inlineStr"/>
      <c r="G114" s="5" t="inlineStr">
        <is>
          <t>Intel</t>
        </is>
      </c>
      <c r="H114" s="5">
        <f>HYPERLINK("https://itrix.uz/product/339", "🔗 Mahsulot sotib olish")</f>
        <v/>
      </c>
      <c r="I114" t="inlineStr">
        <is>
          <t>2-339-341</t>
        </is>
      </c>
    </row>
    <row r="115" ht="30" customHeight="1">
      <c r="A115" s="4" t="inlineStr">
        <is>
          <t>Protsessorlar</t>
        </is>
      </c>
      <c r="B115" s="4" t="inlineStr">
        <is>
          <t>Intel Xeon Gold 6342 (2.8GHz/24-core/230W)</t>
        </is>
      </c>
      <c r="C115" s="5" t="inlineStr"/>
      <c r="D115" s="5" t="n">
        <v>36102528</v>
      </c>
      <c r="E115" s="5" t="n">
        <v>32234400</v>
      </c>
      <c r="F115" s="5" t="inlineStr"/>
      <c r="G115" s="5" t="inlineStr">
        <is>
          <t>Intel</t>
        </is>
      </c>
      <c r="H115" s="5">
        <f>HYPERLINK("https://itrix.uz/product/359", "🔗 Mahsulot sotib olish")</f>
        <v/>
      </c>
      <c r="I115" t="inlineStr">
        <is>
          <t>2-359-361</t>
        </is>
      </c>
    </row>
    <row r="116" ht="30" customHeight="1">
      <c r="A116" s="4" t="inlineStr">
        <is>
          <t>HDD qattiq disklari</t>
        </is>
      </c>
      <c r="B116" s="4" t="inlineStr">
        <is>
          <t>HPE 16TB SAS 7200 rpm (3.5", LFF) qattiq diski</t>
        </is>
      </c>
      <c r="C116" s="5" t="inlineStr"/>
      <c r="D116" s="5" t="n">
        <v>8483552</v>
      </c>
      <c r="E116" s="5" t="n">
        <v>7574600</v>
      </c>
      <c r="F116" s="5" t="inlineStr"/>
      <c r="G116" s="5" t="inlineStr">
        <is>
          <t>HPE</t>
        </is>
      </c>
      <c r="H116" s="5">
        <f>HYPERLINK("https://itrix.uz/product/45", "🔗 Mahsulot sotib olish")</f>
        <v/>
      </c>
      <c r="I116" t="inlineStr">
        <is>
          <t>2-45-51</t>
        </is>
      </c>
    </row>
    <row r="117" ht="30" customHeight="1">
      <c r="A117" s="4" t="inlineStr">
        <is>
          <t>Protsessorlar</t>
        </is>
      </c>
      <c r="B117" s="4" t="inlineStr">
        <is>
          <t>Intel Xeon Gold 6346 (3.1GHz/16-core/205W)</t>
        </is>
      </c>
      <c r="C117" s="5" t="inlineStr"/>
      <c r="D117" s="5" t="n">
        <v>26385744</v>
      </c>
      <c r="E117" s="5" t="n">
        <v>23558700</v>
      </c>
      <c r="F117" s="5" t="inlineStr"/>
      <c r="G117" s="5" t="inlineStr">
        <is>
          <t>Intel</t>
        </is>
      </c>
      <c r="H117" s="5">
        <f>HYPERLINK("https://itrix.uz/product/360", "🔗 Mahsulot sotib olish")</f>
        <v/>
      </c>
      <c r="I117" t="inlineStr">
        <is>
          <t>2-360-362</t>
        </is>
      </c>
    </row>
    <row r="118" ht="30" customHeight="1">
      <c r="A118" s="4" t="inlineStr">
        <is>
          <t>HDD qattiq disklari</t>
        </is>
      </c>
      <c r="B118" s="4" t="inlineStr">
        <is>
          <t>HPE 900GB SAS 15000 rpm (2.5", SFF) qattiq diski</t>
        </is>
      </c>
      <c r="C118" s="5" t="inlineStr"/>
      <c r="D118" s="5" t="n">
        <v>5041344</v>
      </c>
      <c r="E118" s="5" t="n">
        <v>4501200</v>
      </c>
      <c r="F118" s="5" t="inlineStr"/>
      <c r="G118" s="5" t="inlineStr">
        <is>
          <t>HPE</t>
        </is>
      </c>
      <c r="H118" s="5">
        <f>HYPERLINK("https://itrix.uz/product/50", "🔗 Mahsulot sotib olish")</f>
        <v/>
      </c>
      <c r="I118" t="inlineStr">
        <is>
          <t>2-50-56</t>
        </is>
      </c>
    </row>
    <row r="119" ht="30" customHeight="1">
      <c r="A119" s="4" t="inlineStr">
        <is>
          <t>SSD qattiq disklari</t>
        </is>
      </c>
      <c r="B119" s="4" t="inlineStr">
        <is>
          <t>HPE 480GB / SATA / MU / SSD</t>
        </is>
      </c>
      <c r="C119" s="5" t="inlineStr"/>
      <c r="D119" s="5" t="n">
        <v>5868016</v>
      </c>
      <c r="E119" s="5" t="n">
        <v>5239300</v>
      </c>
      <c r="F119" s="5" t="inlineStr"/>
      <c r="G119" s="5" t="inlineStr">
        <is>
          <t>HPE</t>
        </is>
      </c>
      <c r="H119" s="5">
        <f>HYPERLINK("https://itrix.uz/product/58", "🔗 Mahsulot sotib olish")</f>
        <v/>
      </c>
      <c r="I119" t="inlineStr">
        <is>
          <t>2-58-64</t>
        </is>
      </c>
    </row>
    <row r="120" ht="30" customHeight="1">
      <c r="A120" s="4" t="inlineStr">
        <is>
          <t>Aksessuarlar</t>
        </is>
      </c>
      <c r="B120" s="4" t="inlineStr">
        <is>
          <t>HPE 544+QSFP 10/40G 2-port PCIe tarmoqli kartasi</t>
        </is>
      </c>
      <c r="C120" s="5" t="inlineStr"/>
      <c r="D120" s="5" t="n">
        <v>3916528</v>
      </c>
      <c r="E120" s="5" t="n">
        <v>3496900</v>
      </c>
      <c r="F120" s="5" t="inlineStr"/>
      <c r="G120" s="5" t="inlineStr">
        <is>
          <t>HPE</t>
        </is>
      </c>
      <c r="H120" s="5">
        <f>HYPERLINK("https://itrix.uz/product/99", "🔗 Mahsulot sotib olish")</f>
        <v/>
      </c>
      <c r="I120" t="inlineStr">
        <is>
          <t>2-99-105</t>
        </is>
      </c>
    </row>
    <row r="121" ht="30" customHeight="1">
      <c r="A121" s="4" t="inlineStr">
        <is>
          <t>SSD qattiq disklari</t>
        </is>
      </c>
      <c r="B121" s="4" t="inlineStr">
        <is>
          <t>Intel 480GB S4510 / RI / SATA / SSD</t>
        </is>
      </c>
      <c r="C121" s="5" t="inlineStr"/>
      <c r="D121" s="5" t="n">
        <v>1951488</v>
      </c>
      <c r="E121" s="5" t="n">
        <v>1742400</v>
      </c>
      <c r="F121" s="5" t="inlineStr"/>
      <c r="G121" s="5" t="inlineStr">
        <is>
          <t>Intel</t>
        </is>
      </c>
      <c r="H121" s="5">
        <f>HYPERLINK("https://itrix.uz/product/59", "🔗 Mahsulot sotib olish")</f>
        <v/>
      </c>
      <c r="I121" t="inlineStr">
        <is>
          <t>2-59-65</t>
        </is>
      </c>
    </row>
    <row r="122" ht="30" customHeight="1">
      <c r="A122" s="4" t="inlineStr">
        <is>
          <t>HDD qattiq disklari</t>
        </is>
      </c>
      <c r="B122" s="4" t="inlineStr">
        <is>
          <t xml:space="preserve"> WD 6TB 7.2K SAS LFF qattiq diski</t>
        </is>
      </c>
      <c r="C122" s="5" t="inlineStr"/>
      <c r="D122" s="5" t="n">
        <v>1937936</v>
      </c>
      <c r="E122" s="5" t="n">
        <v>1730300</v>
      </c>
      <c r="F122" s="5" t="inlineStr"/>
      <c r="G122" s="5" t="inlineStr">
        <is>
          <t>Western Digital</t>
        </is>
      </c>
      <c r="H122" s="5">
        <f>HYPERLINK("https://itrix.uz/product/49", "🔗 Mahsulot sotib olish")</f>
        <v/>
      </c>
      <c r="I122" t="inlineStr">
        <is>
          <t>2-49-55</t>
        </is>
      </c>
    </row>
    <row r="123" ht="30" customHeight="1">
      <c r="A123" s="4" t="inlineStr">
        <is>
          <t>SSD qattiq disklari</t>
        </is>
      </c>
      <c r="B123" s="4" t="inlineStr">
        <is>
          <t>DELL 1.92TB / SAS / RI / SSD</t>
        </is>
      </c>
      <c r="C123" s="5" t="inlineStr"/>
      <c r="D123" s="5" t="n">
        <v>15652560</v>
      </c>
      <c r="E123" s="5" t="n">
        <v>13975500</v>
      </c>
      <c r="F123" s="5" t="inlineStr"/>
      <c r="G123" s="5" t="inlineStr">
        <is>
          <t>Dell</t>
        </is>
      </c>
      <c r="H123" s="5">
        <f>HYPERLINK("https://itrix.uz/product/60", "🔗 Mahsulot sotib olish")</f>
        <v/>
      </c>
      <c r="I123" t="inlineStr">
        <is>
          <t>2-60-66</t>
        </is>
      </c>
    </row>
    <row r="124" ht="30" customHeight="1">
      <c r="A124" s="4" t="inlineStr">
        <is>
          <t>Tarkibiy qismlar</t>
        </is>
      </c>
      <c r="B124" s="4" t="inlineStr">
        <is>
          <t>On-line uzluksiz quvvat manbai, 10 000 VA Intelligent seriyasi, AKBsiz (SNR-UPS-ONRT-10000-INTXL)</t>
        </is>
      </c>
      <c r="C124" s="5" t="inlineStr"/>
      <c r="D124" s="5" t="n">
        <v>12139068</v>
      </c>
      <c r="E124" s="5" t="n">
        <v>10838454</v>
      </c>
      <c r="F124" s="5" t="inlineStr"/>
      <c r="G124" s="5" t="inlineStr">
        <is>
          <t>SNR</t>
        </is>
      </c>
      <c r="H124" s="5">
        <f>HYPERLINK("https://itrix.uz/product/895", "🔗 Mahsulot sotib olish")</f>
        <v/>
      </c>
      <c r="I124" t="inlineStr">
        <is>
          <t>2-895-785</t>
        </is>
      </c>
    </row>
    <row r="125" ht="30" customHeight="1">
      <c r="A125" s="4" t="inlineStr">
        <is>
          <t>SSD qattiq disklari</t>
        </is>
      </c>
      <c r="B125" s="4" t="inlineStr">
        <is>
          <t>DELL 15.36TB Enterprise NVMe Read Intensive AG Drive U.2 formatdagi SSD disk</t>
        </is>
      </c>
      <c r="C125" s="5" t="inlineStr"/>
      <c r="D125" s="5" t="n">
        <v>26101152</v>
      </c>
      <c r="E125" s="5" t="n">
        <v>23304600</v>
      </c>
      <c r="F125" s="5" t="inlineStr"/>
      <c r="G125" s="5" t="inlineStr"/>
      <c r="H125" s="5">
        <f>HYPERLINK("https://itrix.uz/product/551", "🔗 Mahsulot sotib olish")</f>
        <v/>
      </c>
      <c r="I125" t="inlineStr">
        <is>
          <t>2-551-514</t>
        </is>
      </c>
    </row>
    <row r="126" ht="30" customHeight="1">
      <c r="A126" s="4" t="inlineStr">
        <is>
          <t>Aksessuarlar</t>
        </is>
      </c>
      <c r="B126" s="4" t="inlineStr">
        <is>
          <t>QLogic QL45212HLCU 25GbE ikkita portli SFP+ tarmoq kartasi, PCIe 3.0 x8 (SFP modulsiz)</t>
        </is>
      </c>
      <c r="C126" s="5" t="inlineStr"/>
      <c r="D126" s="5" t="n">
        <v>5800256</v>
      </c>
      <c r="E126" s="5" t="n">
        <v>5178800</v>
      </c>
      <c r="F126" s="5" t="inlineStr"/>
      <c r="G126" s="5" t="inlineStr"/>
      <c r="H126" s="5">
        <f>HYPERLINK("https://itrix.uz/product/556", "🔗 Mahsulot sotib olish")</f>
        <v/>
      </c>
      <c r="I126" t="inlineStr">
        <is>
          <t>2-556-519</t>
        </is>
      </c>
    </row>
    <row r="127" ht="30" customHeight="1">
      <c r="A127" s="4" t="inlineStr">
        <is>
          <t>Aksessuarlar</t>
        </is>
      </c>
      <c r="B127" s="4" t="inlineStr">
        <is>
          <t>Dell Emulex LPE36000 FC64 HBA adapteri, 2 portli, PCIe Full Height formatda</t>
        </is>
      </c>
      <c r="C127" s="5" t="inlineStr"/>
      <c r="D127" s="5" t="n">
        <v>21764512</v>
      </c>
      <c r="E127" s="5" t="n">
        <v>19432600</v>
      </c>
      <c r="F127" s="5" t="inlineStr"/>
      <c r="G127" s="5" t="inlineStr">
        <is>
          <t>Dell</t>
        </is>
      </c>
      <c r="H127" s="5">
        <f>HYPERLINK("https://itrix.uz/product/553", "🔗 Mahsulot sotib olish")</f>
        <v/>
      </c>
      <c r="I127" t="inlineStr">
        <is>
          <t>2-553-516</t>
        </is>
      </c>
    </row>
    <row r="128" ht="30" customHeight="1">
      <c r="A128" s="4" t="inlineStr">
        <is>
          <t>Video kartalar</t>
        </is>
      </c>
      <c r="B128" s="4" t="inlineStr">
        <is>
          <t xml:space="preserve"> NVIDIA L40 48GB GDDR6 videokartasi</t>
        </is>
      </c>
      <c r="C128" s="5" t="inlineStr"/>
      <c r="D128" s="5" t="n">
        <v>131373088</v>
      </c>
      <c r="E128" s="5" t="n">
        <v>117297400</v>
      </c>
      <c r="F128" s="5" t="inlineStr"/>
      <c r="G128" s="5" t="inlineStr">
        <is>
          <t>Nvidia</t>
        </is>
      </c>
      <c r="H128" s="5">
        <f>HYPERLINK("https://itrix.uz/product/502", "🔗 Mahsulot sotib olish")</f>
        <v/>
      </c>
      <c r="I128" t="inlineStr">
        <is>
          <t>2-502-485</t>
        </is>
      </c>
    </row>
    <row r="129" ht="30" customHeight="1">
      <c r="A129" s="4" t="inlineStr">
        <is>
          <t>SSD qattiq disklari</t>
        </is>
      </c>
      <c r="B129" s="4" t="inlineStr">
        <is>
          <t>DELL 1.6TB / SAS / MU / SSD</t>
        </is>
      </c>
      <c r="C129" s="5" t="inlineStr"/>
      <c r="D129" s="5" t="n">
        <v>9716784</v>
      </c>
      <c r="E129" s="5" t="n">
        <v>8675700</v>
      </c>
      <c r="F129" s="5" t="inlineStr"/>
      <c r="G129" s="5" t="inlineStr">
        <is>
          <t>Dell</t>
        </is>
      </c>
      <c r="H129" s="5">
        <f>HYPERLINK("https://itrix.uz/product/61", "🔗 Mahsulot sotib olish")</f>
        <v/>
      </c>
      <c r="I129" t="inlineStr">
        <is>
          <t>2-61-67</t>
        </is>
      </c>
    </row>
    <row r="130" ht="30" customHeight="1">
      <c r="A130" s="4" t="inlineStr">
        <is>
          <t>Tezkor xotira (RAM)</t>
        </is>
      </c>
      <c r="B130" s="4" t="inlineStr">
        <is>
          <t>Samsung 32GB DDR4-2133 operativ xotira</t>
        </is>
      </c>
      <c r="C130" s="5" t="inlineStr"/>
      <c r="D130" s="5" t="n">
        <v>1300992</v>
      </c>
      <c r="E130" s="5" t="n">
        <v>1161600</v>
      </c>
      <c r="F130" s="5" t="inlineStr"/>
      <c r="G130" s="5" t="inlineStr">
        <is>
          <t>Samsung</t>
        </is>
      </c>
      <c r="H130" s="5">
        <f>HYPERLINK("https://itrix.uz/product/79", "🔗 Mahsulot sotib olish")</f>
        <v/>
      </c>
      <c r="I130" t="inlineStr">
        <is>
          <t>2-79-85</t>
        </is>
      </c>
    </row>
    <row r="131" ht="30" customHeight="1">
      <c r="A131" s="4" t="inlineStr">
        <is>
          <t>Tezkor xotira (RAM)</t>
        </is>
      </c>
      <c r="B131" s="4" t="inlineStr">
        <is>
          <t>Samsung 16GB DDR4-2666 UDIMM operativ xotira</t>
        </is>
      </c>
      <c r="C131" s="5" t="inlineStr"/>
      <c r="D131" s="5" t="n">
        <v>1314544</v>
      </c>
      <c r="E131" s="5" t="n">
        <v>1173700</v>
      </c>
      <c r="F131" s="5" t="inlineStr"/>
      <c r="G131" s="5" t="inlineStr">
        <is>
          <t>Samsung</t>
        </is>
      </c>
      <c r="H131" s="5">
        <f>HYPERLINK("https://itrix.uz/product/83", "🔗 Mahsulot sotib olish")</f>
        <v/>
      </c>
      <c r="I131" t="inlineStr">
        <is>
          <t>2-83-89</t>
        </is>
      </c>
    </row>
    <row r="132" ht="30" customHeight="1">
      <c r="A132" s="4" t="inlineStr">
        <is>
          <t>Tezkor xotira (RAM)</t>
        </is>
      </c>
      <c r="B132" s="4" t="inlineStr">
        <is>
          <t>HPE 16GB DDR4-2666 SMART Kit operativ xotira</t>
        </is>
      </c>
      <c r="C132" s="5" t="inlineStr"/>
      <c r="D132" s="5" t="n">
        <v>1626240</v>
      </c>
      <c r="E132" s="5" t="n">
        <v>1452000</v>
      </c>
      <c r="F132" s="5" t="inlineStr"/>
      <c r="G132" s="5" t="inlineStr">
        <is>
          <t>HPE</t>
        </is>
      </c>
      <c r="H132" s="5">
        <f>HYPERLINK("https://itrix.uz/product/86", "🔗 Mahsulot sotib olish")</f>
        <v/>
      </c>
      <c r="I132" t="inlineStr">
        <is>
          <t>2-86-92</t>
        </is>
      </c>
    </row>
    <row r="133" ht="30" customHeight="1">
      <c r="A133" s="4" t="inlineStr">
        <is>
          <t>Tezkor xotira (RAM)</t>
        </is>
      </c>
      <c r="B133" s="4" t="inlineStr">
        <is>
          <t>HPE 32GB DDR4-2666 operativ xotira</t>
        </is>
      </c>
      <c r="C133" s="5" t="inlineStr"/>
      <c r="D133" s="5" t="n">
        <v>1897280</v>
      </c>
      <c r="E133" s="5" t="n">
        <v>1694000</v>
      </c>
      <c r="F133" s="5" t="inlineStr"/>
      <c r="G133" s="5" t="inlineStr">
        <is>
          <t>HPE</t>
        </is>
      </c>
      <c r="H133" s="5">
        <f>HYPERLINK("https://itrix.uz/product/89", "🔗 Mahsulot sotib olish")</f>
        <v/>
      </c>
      <c r="I133" t="inlineStr">
        <is>
          <t>2-89-95</t>
        </is>
      </c>
    </row>
    <row r="134" ht="30" customHeight="1">
      <c r="A134" s="4" t="inlineStr">
        <is>
          <t>Tezkor xotira (RAM)</t>
        </is>
      </c>
      <c r="B134" s="4" t="inlineStr">
        <is>
          <t>HPE 32GB DDR4-2400 operativ xotira</t>
        </is>
      </c>
      <c r="C134" s="5" t="inlineStr"/>
      <c r="D134" s="5" t="n">
        <v>1626240</v>
      </c>
      <c r="E134" s="5" t="n">
        <v>1452000</v>
      </c>
      <c r="F134" s="5" t="inlineStr"/>
      <c r="G134" s="5" t="inlineStr">
        <is>
          <t>HPE</t>
        </is>
      </c>
      <c r="H134" s="5">
        <f>HYPERLINK("https://itrix.uz/product/90", "🔗 Mahsulot sotib olish")</f>
        <v/>
      </c>
      <c r="I134" t="inlineStr">
        <is>
          <t>2-90-96</t>
        </is>
      </c>
    </row>
    <row r="135" ht="30" customHeight="1">
      <c r="A135" s="4" t="inlineStr">
        <is>
          <t>Tezkor xotira (RAM)</t>
        </is>
      </c>
      <c r="B135" s="4" t="inlineStr">
        <is>
          <t>HPE 64GB DDR4-2933 operativ xotira</t>
        </is>
      </c>
      <c r="C135" s="5" t="inlineStr"/>
      <c r="D135" s="5" t="n">
        <v>5217520</v>
      </c>
      <c r="E135" s="5" t="n">
        <v>4658500</v>
      </c>
      <c r="F135" s="5" t="inlineStr"/>
      <c r="G135" s="5" t="inlineStr">
        <is>
          <t>HPE</t>
        </is>
      </c>
      <c r="H135" s="5">
        <f>HYPERLINK("https://itrix.uz/product/92", "🔗 Mahsulot sotib olish")</f>
        <v/>
      </c>
      <c r="I135" t="inlineStr">
        <is>
          <t>2-92-98</t>
        </is>
      </c>
    </row>
    <row r="136" ht="30" customHeight="1">
      <c r="A136" s="4" t="inlineStr">
        <is>
          <t>Tezkor xotira (RAM)</t>
        </is>
      </c>
      <c r="B136" s="4" t="inlineStr">
        <is>
          <t>HPE 16GB DDR4-3200 operativ xotira</t>
        </is>
      </c>
      <c r="C136" s="5" t="inlineStr"/>
      <c r="D136" s="5" t="n">
        <v>1043504</v>
      </c>
      <c r="E136" s="5" t="n">
        <v>931700</v>
      </c>
      <c r="F136" s="5" t="inlineStr"/>
      <c r="G136" s="5" t="inlineStr">
        <is>
          <t>HPE</t>
        </is>
      </c>
      <c r="H136" s="5">
        <f>HYPERLINK("https://itrix.uz/product/93", "🔗 Mahsulot sotib olish")</f>
        <v/>
      </c>
      <c r="I136" t="inlineStr">
        <is>
          <t>2-93-99</t>
        </is>
      </c>
    </row>
    <row r="137" ht="30" customHeight="1">
      <c r="A137" s="4" t="inlineStr">
        <is>
          <t>Tezkor xotira (RAM)</t>
        </is>
      </c>
      <c r="B137" s="4" t="inlineStr">
        <is>
          <t>HPE 16GB DDR4-3200 UDIMM operativ xotira</t>
        </is>
      </c>
      <c r="C137" s="5" t="inlineStr"/>
      <c r="D137" s="5" t="n">
        <v>772464</v>
      </c>
      <c r="E137" s="5" t="n">
        <v>689700</v>
      </c>
      <c r="F137" s="5" t="inlineStr"/>
      <c r="G137" s="5" t="inlineStr">
        <is>
          <t>HPE</t>
        </is>
      </c>
      <c r="H137" s="5">
        <f>HYPERLINK("https://itrix.uz/product/95", "🔗 Mahsulot sotib olish")</f>
        <v/>
      </c>
      <c r="I137" t="inlineStr">
        <is>
          <t>2-95-101</t>
        </is>
      </c>
    </row>
    <row r="138" ht="30" customHeight="1">
      <c r="A138" s="4" t="inlineStr">
        <is>
          <t>NVME</t>
        </is>
      </c>
      <c r="B138" s="4" t="inlineStr">
        <is>
          <t>3.2TB PCI-e NVMe Express Flash xotira qurilmasi</t>
        </is>
      </c>
      <c r="C138" s="5" t="inlineStr"/>
      <c r="D138" s="5" t="n">
        <v>12088384</v>
      </c>
      <c r="E138" s="5" t="n">
        <v>10793200</v>
      </c>
      <c r="F138" s="5" t="inlineStr"/>
      <c r="G138" s="5" t="inlineStr">
        <is>
          <t>Dell</t>
        </is>
      </c>
      <c r="H138" s="5">
        <f>HYPERLINK("https://itrix.uz/product/97", "🔗 Mahsulot sotib olish")</f>
        <v/>
      </c>
      <c r="I138" t="inlineStr">
        <is>
          <t>2-97-103</t>
        </is>
      </c>
    </row>
    <row r="139" ht="30" customHeight="1">
      <c r="A139" s="4" t="inlineStr">
        <is>
          <t>NVME</t>
        </is>
      </c>
      <c r="B139" s="4" t="inlineStr">
        <is>
          <t>6.4TB PCI-e NVMe Express Flash xotira qurilmasi</t>
        </is>
      </c>
      <c r="C139" s="5" t="inlineStr"/>
      <c r="D139" s="5" t="n">
        <v>14446432</v>
      </c>
      <c r="E139" s="5" t="n">
        <v>12898600</v>
      </c>
      <c r="F139" s="5" t="inlineStr"/>
      <c r="G139" s="5" t="inlineStr">
        <is>
          <t>Dell</t>
        </is>
      </c>
      <c r="H139" s="5">
        <f>HYPERLINK("https://itrix.uz/product/98", "🔗 Mahsulot sotib olish")</f>
        <v/>
      </c>
      <c r="I139" t="inlineStr">
        <is>
          <t>2-98-104</t>
        </is>
      </c>
    </row>
    <row r="140" ht="30" customHeight="1">
      <c r="A140" s="4" t="inlineStr">
        <is>
          <t>Aksessuarlar</t>
        </is>
      </c>
      <c r="B140" s="4" t="inlineStr">
        <is>
          <t>DELL 57414 2port 25GB SFP28 OCP3 tarmoqli interfeys kartasi</t>
        </is>
      </c>
      <c r="C140" s="5" t="inlineStr"/>
      <c r="D140" s="5" t="n">
        <v>4567024</v>
      </c>
      <c r="E140" s="5" t="n">
        <v>4077700</v>
      </c>
      <c r="F140" s="5" t="inlineStr"/>
      <c r="G140" s="5" t="inlineStr">
        <is>
          <t>Dell</t>
        </is>
      </c>
      <c r="H140" s="5">
        <f>HYPERLINK("https://itrix.uz/product/102", "🔗 Mahsulot sotib olish")</f>
        <v/>
      </c>
      <c r="I140" t="inlineStr">
        <is>
          <t>2-102-365</t>
        </is>
      </c>
    </row>
    <row r="141" ht="30" customHeight="1">
      <c r="A141" s="4" t="inlineStr">
        <is>
          <t>Aksessuarlar</t>
        </is>
      </c>
      <c r="B141" s="4" t="inlineStr">
        <is>
          <t>HPE DL380 Gen10 Plus 8SFF NVMe Cage (1PORT) diskli qutisi</t>
        </is>
      </c>
      <c r="C141" s="5" t="inlineStr"/>
      <c r="D141" s="5" t="n">
        <v>6748896</v>
      </c>
      <c r="E141" s="5" t="n">
        <v>6025800</v>
      </c>
      <c r="F141" s="5" t="inlineStr"/>
      <c r="G141" s="5" t="inlineStr">
        <is>
          <t>HPE</t>
        </is>
      </c>
      <c r="H141" s="5">
        <f>HYPERLINK("https://itrix.uz/product/105", "🔗 Mahsulot sotib olish")</f>
        <v/>
      </c>
      <c r="I141" t="inlineStr">
        <is>
          <t>2-105-111</t>
        </is>
      </c>
    </row>
    <row r="142" ht="30" customHeight="1">
      <c r="A142" s="4" t="inlineStr">
        <is>
          <t>Quvvat ta'minoti</t>
        </is>
      </c>
      <c r="B142" s="4" t="inlineStr">
        <is>
          <t>HPE G10 Plus 1600W Flex Slot Platinum Hot Plug Low Halogen Power Supply</t>
        </is>
      </c>
      <c r="C142" s="5" t="inlineStr"/>
      <c r="D142" s="5" t="n">
        <v>4567024</v>
      </c>
      <c r="E142" s="5" t="n">
        <v>4077700</v>
      </c>
      <c r="F142" s="5" t="inlineStr"/>
      <c r="G142" s="5" t="inlineStr">
        <is>
          <t>HPE</t>
        </is>
      </c>
      <c r="H142" s="5">
        <f>HYPERLINK("https://itrix.uz/product/109", "🔗 Mahsulot sotib olish")</f>
        <v/>
      </c>
      <c r="I142" t="inlineStr">
        <is>
          <t>2-109-115</t>
        </is>
      </c>
    </row>
    <row r="143" ht="30" customHeight="1">
      <c r="A143" s="4" t="inlineStr">
        <is>
          <t>Aksessuarlar</t>
        </is>
      </c>
      <c r="B143" s="4" t="inlineStr">
        <is>
          <t>HPE DL360 G10+ High Performance Heatsink protsessor radiatori</t>
        </is>
      </c>
      <c r="C143" s="5" t="inlineStr"/>
      <c r="D143" s="5" t="n">
        <v>1300992</v>
      </c>
      <c r="E143" s="5" t="n">
        <v>1161600</v>
      </c>
      <c r="F143" s="5" t="inlineStr"/>
      <c r="G143" s="5" t="inlineStr">
        <is>
          <t>HPE</t>
        </is>
      </c>
      <c r="H143" s="5">
        <f>HYPERLINK("https://itrix.uz/product/111", "🔗 Mahsulot sotib olish")</f>
        <v/>
      </c>
      <c r="I143" t="inlineStr">
        <is>
          <t>2-111-117</t>
        </is>
      </c>
    </row>
    <row r="144" ht="30" customHeight="1">
      <c r="A144" s="4" t="inlineStr">
        <is>
          <t>Aksessuarlar</t>
        </is>
      </c>
      <c r="B144" s="4" t="inlineStr">
        <is>
          <t>DELL 3.5" Caddy G15</t>
        </is>
      </c>
      <c r="C144" s="5" t="inlineStr"/>
      <c r="D144" s="5" t="n">
        <v>271040</v>
      </c>
      <c r="E144" s="5" t="n">
        <v>242000</v>
      </c>
      <c r="F144" s="5" t="inlineStr"/>
      <c r="G144" s="5" t="inlineStr">
        <is>
          <t>Dell</t>
        </is>
      </c>
      <c r="H144" s="5">
        <f>HYPERLINK("https://itrix.uz/product/119", "🔗 Mahsulot sotib olish")</f>
        <v/>
      </c>
      <c r="I144" t="inlineStr">
        <is>
          <t>2-119-125</t>
        </is>
      </c>
    </row>
    <row r="145" ht="30" customHeight="1">
      <c r="A145" s="4" t="inlineStr">
        <is>
          <t>Aksessuarlar</t>
        </is>
      </c>
      <c r="B145" s="4" t="inlineStr">
        <is>
          <t>DELL TPM 2.0 Module xavfsizlik moduli</t>
        </is>
      </c>
      <c r="C145" s="5" t="inlineStr"/>
      <c r="D145" s="5" t="n">
        <v>2601984</v>
      </c>
      <c r="E145" s="5" t="n">
        <v>2323200</v>
      </c>
      <c r="F145" s="5" t="inlineStr"/>
      <c r="G145" s="5" t="inlineStr">
        <is>
          <t>Dell</t>
        </is>
      </c>
      <c r="H145" s="5">
        <f>HYPERLINK("https://itrix.uz/product/112", "🔗 Mahsulot sotib olish")</f>
        <v/>
      </c>
      <c r="I145" t="inlineStr">
        <is>
          <t>2-112-118</t>
        </is>
      </c>
    </row>
    <row r="146" ht="30" customHeight="1">
      <c r="A146" s="4" t="inlineStr">
        <is>
          <t>Aksessuarlar</t>
        </is>
      </c>
      <c r="B146" s="4" t="inlineStr">
        <is>
          <t>HPE DL380 G10 AMD High Performance Heatsink protsessor radiatori</t>
        </is>
      </c>
      <c r="C146" s="5" t="inlineStr"/>
      <c r="D146" s="5" t="n">
        <v>1300992</v>
      </c>
      <c r="E146" s="5" t="n">
        <v>1161600</v>
      </c>
      <c r="F146" s="5" t="inlineStr"/>
      <c r="G146" s="5" t="inlineStr">
        <is>
          <t>HPE</t>
        </is>
      </c>
      <c r="H146" s="5">
        <f>HYPERLINK("https://itrix.uz/product/113", "🔗 Mahsulot sotib olish")</f>
        <v/>
      </c>
      <c r="I146" t="inlineStr">
        <is>
          <t>2-113-119</t>
        </is>
      </c>
    </row>
    <row r="147" ht="30" customHeight="1">
      <c r="A147" s="4" t="inlineStr">
        <is>
          <t>Aksessuarlar</t>
        </is>
      </c>
      <c r="B147" s="4" t="inlineStr">
        <is>
          <t>DELL Perc H345 RAID Controller</t>
        </is>
      </c>
      <c r="C147" s="5" t="inlineStr"/>
      <c r="D147" s="5" t="n">
        <v>3916528</v>
      </c>
      <c r="E147" s="5" t="n">
        <v>3496900</v>
      </c>
      <c r="F147" s="5" t="inlineStr"/>
      <c r="G147" s="5" t="inlineStr">
        <is>
          <t>Dell</t>
        </is>
      </c>
      <c r="H147" s="5">
        <f>HYPERLINK("https://itrix.uz/product/115", "🔗 Mahsulot sotib olish")</f>
        <v/>
      </c>
      <c r="I147" t="inlineStr">
        <is>
          <t>2-115-121</t>
        </is>
      </c>
    </row>
    <row r="148" ht="30" customHeight="1">
      <c r="A148" s="4" t="inlineStr">
        <is>
          <t>Aksessuarlar</t>
        </is>
      </c>
      <c r="B148" s="4" t="inlineStr">
        <is>
          <t>HPE ML110/150/350 G9 Heatsink protsessor radiatori</t>
        </is>
      </c>
      <c r="C148" s="5" t="inlineStr"/>
      <c r="D148" s="5" t="n">
        <v>528528</v>
      </c>
      <c r="E148" s="5" t="n">
        <v>471900</v>
      </c>
      <c r="F148" s="5" t="inlineStr"/>
      <c r="G148" s="5" t="inlineStr">
        <is>
          <t>HPE</t>
        </is>
      </c>
      <c r="H148" s="5">
        <f>HYPERLINK("https://itrix.uz/product/118", "🔗 Mahsulot sotib olish")</f>
        <v/>
      </c>
      <c r="I148" t="inlineStr">
        <is>
          <t>2-118-124</t>
        </is>
      </c>
    </row>
    <row r="149" ht="30" customHeight="1">
      <c r="A149" s="4" t="inlineStr">
        <is>
          <t>Quvvat ta'minoti</t>
        </is>
      </c>
      <c r="B149" s="4" t="inlineStr">
        <is>
          <t>HPE 500W Flex Slot Platinum Hot Plug Low Halogen PS quvvat bloki</t>
        </is>
      </c>
      <c r="C149" s="5" t="inlineStr"/>
      <c r="D149" s="5" t="n">
        <v>2412256</v>
      </c>
      <c r="E149" s="5" t="n">
        <v>2153800</v>
      </c>
      <c r="F149" s="5" t="inlineStr"/>
      <c r="G149" s="5" t="inlineStr">
        <is>
          <t>HPE</t>
        </is>
      </c>
      <c r="H149" s="5">
        <f>HYPERLINK("https://itrix.uz/product/120", "🔗 Mahsulot sotib olish")</f>
        <v/>
      </c>
      <c r="I149" t="inlineStr">
        <is>
          <t>2-120-126</t>
        </is>
      </c>
    </row>
    <row r="150" ht="30" customHeight="1">
      <c r="A150" s="4" t="inlineStr">
        <is>
          <t>Aksessuarlar</t>
        </is>
      </c>
      <c r="B150" s="4" t="inlineStr">
        <is>
          <t>HPE 331T 4x-1Gb 4-port PCIe tarmoq adapter</t>
        </is>
      </c>
      <c r="C150" s="5" t="inlineStr"/>
      <c r="D150" s="5" t="n">
        <v>2615536</v>
      </c>
      <c r="E150" s="5" t="n">
        <v>2335300</v>
      </c>
      <c r="F150" s="5" t="inlineStr"/>
      <c r="G150" s="5" t="inlineStr">
        <is>
          <t>HPE</t>
        </is>
      </c>
      <c r="H150" s="5">
        <f>HYPERLINK("https://itrix.uz/product/121", "🔗 Mahsulot sotib olish")</f>
        <v/>
      </c>
      <c r="I150" t="inlineStr">
        <is>
          <t>2-121-127</t>
        </is>
      </c>
    </row>
    <row r="151" ht="30" customHeight="1">
      <c r="A151" s="4" t="inlineStr">
        <is>
          <t>Aksessuarlar</t>
        </is>
      </c>
      <c r="B151" s="4" t="inlineStr">
        <is>
          <t>Intel X710-DA2 SFP+ tarmoq kartasi</t>
        </is>
      </c>
      <c r="C151" s="5" t="inlineStr"/>
      <c r="D151" s="5" t="n">
        <v>2574880</v>
      </c>
      <c r="E151" s="5" t="n">
        <v>2299000</v>
      </c>
      <c r="F151" s="5" t="inlineStr"/>
      <c r="G151" s="5" t="inlineStr">
        <is>
          <t>Intel</t>
        </is>
      </c>
      <c r="H151" s="5">
        <f>HYPERLINK("https://itrix.uz/product/122", "🔗 Mahsulot sotib olish")</f>
        <v/>
      </c>
      <c r="I151" t="inlineStr">
        <is>
          <t>2-122-128</t>
        </is>
      </c>
    </row>
    <row r="152" ht="30" customHeight="1">
      <c r="A152" s="4" t="inlineStr">
        <is>
          <t>Aksessuarlar</t>
        </is>
      </c>
      <c r="B152" s="4" t="inlineStr">
        <is>
          <t>HPE 560SFP+ 10Gb 2-port PCIe tarmoq kartasi</t>
        </is>
      </c>
      <c r="C152" s="5" t="inlineStr"/>
      <c r="D152" s="5" t="n">
        <v>3916528</v>
      </c>
      <c r="E152" s="5" t="n">
        <v>3496900</v>
      </c>
      <c r="F152" s="5" t="inlineStr"/>
      <c r="G152" s="5" t="inlineStr">
        <is>
          <t>HPE</t>
        </is>
      </c>
      <c r="H152" s="5">
        <f>HYPERLINK("https://itrix.uz/product/123", "🔗 Mahsulot sotib olish")</f>
        <v/>
      </c>
      <c r="I152" t="inlineStr">
        <is>
          <t>2-123-129</t>
        </is>
      </c>
    </row>
    <row r="153" ht="30" customHeight="1">
      <c r="A153" s="4" t="inlineStr">
        <is>
          <t>Aksessuarlar</t>
        </is>
      </c>
      <c r="B153" s="4" t="inlineStr">
        <is>
          <t>HPE SN1200E 16G 2-port FC HBA Adapter</t>
        </is>
      </c>
      <c r="C153" s="5" t="inlineStr"/>
      <c r="D153" s="5" t="n">
        <v>11085536</v>
      </c>
      <c r="E153" s="5" t="n">
        <v>9897800</v>
      </c>
      <c r="F153" s="5" t="inlineStr"/>
      <c r="G153" s="5" t="inlineStr">
        <is>
          <t>HPE</t>
        </is>
      </c>
      <c r="H153" s="5">
        <f>HYPERLINK("https://itrix.uz/product/124", "🔗 Mahsulot sotib olish")</f>
        <v/>
      </c>
      <c r="I153" t="inlineStr">
        <is>
          <t>2-124-130</t>
        </is>
      </c>
    </row>
    <row r="154" ht="30" customHeight="1">
      <c r="A154" s="4" t="inlineStr">
        <is>
          <t>Aksessuarlar</t>
        </is>
      </c>
      <c r="B154" s="4" t="inlineStr">
        <is>
          <t>DELL R750 R7525 Silver High Performance Fan ventilyatori</t>
        </is>
      </c>
      <c r="C154" s="5" t="inlineStr"/>
      <c r="D154" s="5" t="n">
        <v>650496</v>
      </c>
      <c r="E154" s="5" t="n">
        <v>580800</v>
      </c>
      <c r="F154" s="5" t="inlineStr"/>
      <c r="G154" s="5" t="inlineStr">
        <is>
          <t>Dell</t>
        </is>
      </c>
      <c r="H154" s="5">
        <f>HYPERLINK("https://itrix.uz/product/125", "🔗 Mahsulot sotib olish")</f>
        <v/>
      </c>
      <c r="I154" t="inlineStr">
        <is>
          <t>2-125-131</t>
        </is>
      </c>
    </row>
    <row r="155" ht="30" customHeight="1">
      <c r="A155" s="4" t="inlineStr">
        <is>
          <t>Aksessuarlar</t>
        </is>
      </c>
      <c r="B155" s="4" t="inlineStr">
        <is>
          <t>HPE DL380 G10 Plus Max High Performance Fan ventilyator moduli</t>
        </is>
      </c>
      <c r="C155" s="5" t="inlineStr"/>
      <c r="D155" s="5" t="n">
        <v>975744</v>
      </c>
      <c r="E155" s="5" t="n">
        <v>871200</v>
      </c>
      <c r="F155" s="5" t="inlineStr"/>
      <c r="G155" s="5" t="inlineStr">
        <is>
          <t>HPE</t>
        </is>
      </c>
      <c r="H155" s="5">
        <f>HYPERLINK("https://itrix.uz/product/127", "🔗 Mahsulot sotib olish")</f>
        <v/>
      </c>
      <c r="I155" t="inlineStr">
        <is>
          <t>2-127-133</t>
        </is>
      </c>
    </row>
    <row r="156" ht="30" customHeight="1">
      <c r="A156" s="4" t="inlineStr">
        <is>
          <t>Aksessuarlar</t>
        </is>
      </c>
      <c r="B156" s="4" t="inlineStr">
        <is>
          <t>Broadcom 5720 1Gb 2-port PCIe tarmoq kartasi</t>
        </is>
      </c>
      <c r="C156" s="5" t="inlineStr"/>
      <c r="D156" s="5" t="n">
        <v>1951488</v>
      </c>
      <c r="E156" s="5" t="n">
        <v>1742400</v>
      </c>
      <c r="F156" s="5" t="inlineStr"/>
      <c r="G156" s="5" t="inlineStr">
        <is>
          <t>Dell</t>
        </is>
      </c>
      <c r="H156" s="5">
        <f>HYPERLINK("https://itrix.uz/product/128", "🔗 Mahsulot sotib olish")</f>
        <v/>
      </c>
      <c r="I156" t="inlineStr">
        <is>
          <t>2-128-134</t>
        </is>
      </c>
    </row>
    <row r="157" ht="30" customHeight="1">
      <c r="A157" s="4" t="inlineStr">
        <is>
          <t>Aksessuarlar</t>
        </is>
      </c>
      <c r="B157" s="4" t="inlineStr">
        <is>
          <t>16Gb FC Single Channel HBA PCI-E 3.0 P9D93A SFP+  (SN1100Q) Adapter</t>
        </is>
      </c>
      <c r="C157" s="5" t="inlineStr"/>
      <c r="D157" s="5" t="n">
        <v>7453600</v>
      </c>
      <c r="E157" s="5" t="n">
        <v>6655000</v>
      </c>
      <c r="F157" s="5" t="inlineStr"/>
      <c r="G157" s="5" t="inlineStr">
        <is>
          <t>HPE</t>
        </is>
      </c>
      <c r="H157" s="5">
        <f>HYPERLINK("https://itrix.uz/product/129", "🔗 Mahsulot sotib olish")</f>
        <v/>
      </c>
      <c r="I157" t="inlineStr">
        <is>
          <t>2-129-135</t>
        </is>
      </c>
    </row>
    <row r="158" ht="30" customHeight="1">
      <c r="A158" s="4" t="inlineStr">
        <is>
          <t>Aksessuarlar</t>
        </is>
      </c>
      <c r="B158" s="4" t="inlineStr">
        <is>
          <t>HPE Broadcom BCM5719 Ethernet 1Gb 4-port BASE-T PCIe tarmoq adapteri</t>
        </is>
      </c>
      <c r="C158" s="5" t="inlineStr"/>
      <c r="D158" s="5" t="n">
        <v>2601984</v>
      </c>
      <c r="E158" s="5" t="n">
        <v>2323200</v>
      </c>
      <c r="F158" s="5" t="inlineStr"/>
      <c r="G158" s="5" t="inlineStr">
        <is>
          <t>HPE</t>
        </is>
      </c>
      <c r="H158" s="5">
        <f>HYPERLINK("https://itrix.uz/product/131", "🔗 Mahsulot sotib olish")</f>
        <v/>
      </c>
      <c r="I158" t="inlineStr">
        <is>
          <t>2-131-137</t>
        </is>
      </c>
    </row>
    <row r="159" ht="30" customHeight="1">
      <c r="A159" s="4" t="inlineStr">
        <is>
          <t>Aksessuarlar</t>
        </is>
      </c>
      <c r="B159" s="4" t="inlineStr">
        <is>
          <t>HPE Broadcom BCM57414 Ethernet 10/25Gb 2-port SFP28 tarmoq adapteri</t>
        </is>
      </c>
      <c r="C159" s="5" t="inlineStr"/>
      <c r="D159" s="5" t="n">
        <v>5217520</v>
      </c>
      <c r="E159" s="5" t="n">
        <v>4658500</v>
      </c>
      <c r="F159" s="5" t="inlineStr"/>
      <c r="G159" s="5" t="inlineStr">
        <is>
          <t>HPE</t>
        </is>
      </c>
      <c r="H159" s="5">
        <f>HYPERLINK("https://itrix.uz/product/133", "🔗 Mahsulot sotib olish")</f>
        <v/>
      </c>
      <c r="I159" t="inlineStr">
        <is>
          <t>2-133-139</t>
        </is>
      </c>
    </row>
    <row r="160" ht="30" customHeight="1">
      <c r="A160" s="4" t="inlineStr">
        <is>
          <t>RAID-kontroller</t>
        </is>
      </c>
      <c r="B160" s="4" t="inlineStr">
        <is>
          <t>HPE Smart Array E208e-p SR Gen10 12G SAS 8Ext SA PCIe apparat RAID nazoratchisi</t>
        </is>
      </c>
      <c r="C160" s="5" t="inlineStr"/>
      <c r="D160" s="5" t="n">
        <v>3333792</v>
      </c>
      <c r="E160" s="5" t="n">
        <v>2976600</v>
      </c>
      <c r="F160" s="5" t="inlineStr"/>
      <c r="G160" s="5" t="inlineStr">
        <is>
          <t>HPE</t>
        </is>
      </c>
      <c r="H160" s="5">
        <f>HYPERLINK("https://itrix.uz/product/145", "🔗 Mahsulot sotib olish")</f>
        <v/>
      </c>
      <c r="I160" t="inlineStr">
        <is>
          <t>2-145-151</t>
        </is>
      </c>
    </row>
    <row r="161" ht="30" customHeight="1">
      <c r="A161" s="4" t="inlineStr">
        <is>
          <t>RAID-kontroller</t>
        </is>
      </c>
      <c r="B161" s="4" t="inlineStr">
        <is>
          <t>HPE P408i-a SR (Ichki) 2GB kesh 12G SAS PCIe (96W batareya bilan) apparat RAID nazoratchisi</t>
        </is>
      </c>
      <c r="C161" s="5" t="inlineStr"/>
      <c r="D161" s="5" t="n">
        <v>6518512</v>
      </c>
      <c r="E161" s="5" t="n">
        <v>5820100</v>
      </c>
      <c r="F161" s="5" t="inlineStr"/>
      <c r="G161" s="5" t="inlineStr">
        <is>
          <t>HPE</t>
        </is>
      </c>
      <c r="H161" s="5">
        <f>HYPERLINK("https://itrix.uz/product/147", "🔗 Mahsulot sotib olish")</f>
        <v/>
      </c>
      <c r="I161" t="inlineStr">
        <is>
          <t>2-147-153</t>
        </is>
      </c>
    </row>
    <row r="162" ht="30" customHeight="1">
      <c r="A162" s="4" t="inlineStr">
        <is>
          <t>RAID-kontroller</t>
        </is>
      </c>
      <c r="B162" s="4" t="inlineStr">
        <is>
          <t>HPE P408e-p SR (Tashqi) 4GB kesh 12G SAS PCIe (96W batareya bilan) tashqi apparat RAID nazoratchisi</t>
        </is>
      </c>
      <c r="C162" s="5" t="inlineStr"/>
      <c r="D162" s="5" t="n">
        <v>6518512</v>
      </c>
      <c r="E162" s="5" t="n">
        <v>5820100</v>
      </c>
      <c r="F162" s="5" t="inlineStr"/>
      <c r="G162" s="5" t="inlineStr">
        <is>
          <t>HPE</t>
        </is>
      </c>
      <c r="H162" s="5">
        <f>HYPERLINK("https://itrix.uz/product/146", "🔗 Mahsulot sotib olish")</f>
        <v/>
      </c>
      <c r="I162" t="inlineStr">
        <is>
          <t>2-146-152</t>
        </is>
      </c>
    </row>
    <row r="163" ht="30" customHeight="1">
      <c r="A163" s="4" t="inlineStr">
        <is>
          <t>RAID-kontroller</t>
        </is>
      </c>
      <c r="B163" s="4" t="inlineStr">
        <is>
          <t>HPE P816i-a SR (Ichki) 4GB kesh 12G SAS PCIe (96W batareya bilan) ichki apparat RAID nazoratchisi</t>
        </is>
      </c>
      <c r="C163" s="5" t="inlineStr"/>
      <c r="D163" s="5" t="n">
        <v>7060592</v>
      </c>
      <c r="E163" s="5" t="n">
        <v>6304100</v>
      </c>
      <c r="F163" s="5" t="inlineStr"/>
      <c r="G163" s="5" t="inlineStr">
        <is>
          <t>HPE</t>
        </is>
      </c>
      <c r="H163" s="5">
        <f>HYPERLINK("https://itrix.uz/product/148", "🔗 Mahsulot sotib olish")</f>
        <v/>
      </c>
      <c r="I163" t="inlineStr">
        <is>
          <t>2-148-154</t>
        </is>
      </c>
    </row>
    <row r="164" ht="30" customHeight="1">
      <c r="A164" s="4" t="inlineStr">
        <is>
          <t>RAID-kontroller</t>
        </is>
      </c>
      <c r="B164" s="4" t="inlineStr">
        <is>
          <t>HPE DL38X Gen10 12Gb SAS Expander Card Kit kabel bilan</t>
        </is>
      </c>
      <c r="C164" s="5" t="inlineStr"/>
      <c r="D164" s="5" t="n">
        <v>8320928</v>
      </c>
      <c r="E164" s="5" t="n">
        <v>7429400</v>
      </c>
      <c r="F164" s="5" t="inlineStr"/>
      <c r="G164" s="5" t="inlineStr">
        <is>
          <t>HPE</t>
        </is>
      </c>
      <c r="H164" s="5">
        <f>HYPERLINK("https://itrix.uz/product/149", "🔗 Mahsulot sotib olish")</f>
        <v/>
      </c>
      <c r="I164" t="inlineStr">
        <is>
          <t>2-149-155</t>
        </is>
      </c>
    </row>
    <row r="165" ht="30" customHeight="1">
      <c r="A165" s="4" t="inlineStr">
        <is>
          <t>RAID-kontroller</t>
        </is>
      </c>
      <c r="B165" s="4" t="inlineStr">
        <is>
          <t>DELL PERC H755 8Gb RAID apparat RAID nazoratchisi</t>
        </is>
      </c>
      <c r="C165" s="5" t="inlineStr"/>
      <c r="D165" s="5" t="n">
        <v>7819504</v>
      </c>
      <c r="E165" s="5" t="n">
        <v>6981700</v>
      </c>
      <c r="F165" s="5" t="inlineStr"/>
      <c r="G165" s="5" t="inlineStr">
        <is>
          <t>Dell</t>
        </is>
      </c>
      <c r="H165" s="5">
        <f>HYPERLINK("https://itrix.uz/product/150", "🔗 Mahsulot sotib olish")</f>
        <v/>
      </c>
      <c r="I165" t="inlineStr">
        <is>
          <t>2-150-156</t>
        </is>
      </c>
    </row>
    <row r="166" ht="30" customHeight="1">
      <c r="A166" s="4" t="inlineStr">
        <is>
          <t>RAID-kontroller</t>
        </is>
      </c>
      <c r="B166" s="4" t="inlineStr">
        <is>
          <t>DELL PERC H355 Adapter apparat RAID nazoratchisi</t>
        </is>
      </c>
      <c r="C166" s="5" t="inlineStr"/>
      <c r="D166" s="5" t="n">
        <v>3753904</v>
      </c>
      <c r="E166" s="5" t="n">
        <v>3351700</v>
      </c>
      <c r="F166" s="5" t="inlineStr"/>
      <c r="G166" s="5" t="inlineStr">
        <is>
          <t>Dell</t>
        </is>
      </c>
      <c r="H166" s="5">
        <f>HYPERLINK("https://itrix.uz/product/151", "🔗 Mahsulot sotib olish")</f>
        <v/>
      </c>
      <c r="I166" t="inlineStr">
        <is>
          <t>2-151-157</t>
        </is>
      </c>
    </row>
    <row r="167" ht="30" customHeight="1">
      <c r="A167" s="4" t="inlineStr">
        <is>
          <t>RAID-kontroller</t>
        </is>
      </c>
      <c r="B167" s="4" t="inlineStr">
        <is>
          <t>DELL PERC H755N 8Gb RAID NVMe apparat RAID nazoratchisi</t>
        </is>
      </c>
      <c r="C167" s="5" t="inlineStr"/>
      <c r="D167" s="5" t="n">
        <v>7358736</v>
      </c>
      <c r="E167" s="5" t="n">
        <v>6570300</v>
      </c>
      <c r="F167" s="5" t="inlineStr"/>
      <c r="G167" s="5" t="inlineStr">
        <is>
          <t>Dell</t>
        </is>
      </c>
      <c r="H167" s="5">
        <f>HYPERLINK("https://itrix.uz/product/153", "🔗 Mahsulot sotib olish")</f>
        <v/>
      </c>
      <c r="I167" t="inlineStr">
        <is>
          <t>2-153-159</t>
        </is>
      </c>
    </row>
    <row r="168" ht="30" customHeight="1">
      <c r="A168" s="4" t="inlineStr">
        <is>
          <t>Quvvat ta'minoti</t>
        </is>
      </c>
      <c r="B168" s="4" t="inlineStr">
        <is>
          <t>HPE 500W Flex Slot Platinum Hot Plug quvvat bloki</t>
        </is>
      </c>
      <c r="C168" s="5" t="inlineStr"/>
      <c r="D168" s="5" t="n">
        <v>1937936</v>
      </c>
      <c r="E168" s="5" t="n">
        <v>1730300</v>
      </c>
      <c r="F168" s="5" t="inlineStr"/>
      <c r="G168" s="5" t="inlineStr">
        <is>
          <t>HPE</t>
        </is>
      </c>
      <c r="H168" s="5">
        <f>HYPERLINK("https://itrix.uz/product/154", "🔗 Mahsulot sotib olish")</f>
        <v/>
      </c>
      <c r="I168" t="inlineStr">
        <is>
          <t>2-154-160</t>
        </is>
      </c>
    </row>
    <row r="169" ht="30" customHeight="1">
      <c r="A169" s="4" t="inlineStr">
        <is>
          <t>Quvvat ta'minoti</t>
        </is>
      </c>
      <c r="B169" s="4" t="inlineStr">
        <is>
          <t>HPE 800W Flex Slot Platinum Hot Plug quvvat bloki</t>
        </is>
      </c>
      <c r="C169" s="5" t="inlineStr"/>
      <c r="D169" s="5" t="n">
        <v>2615536</v>
      </c>
      <c r="E169" s="5" t="n">
        <v>2335300</v>
      </c>
      <c r="F169" s="5" t="inlineStr"/>
      <c r="G169" s="5" t="inlineStr">
        <is>
          <t>HPE</t>
        </is>
      </c>
      <c r="H169" s="5">
        <f>HYPERLINK("https://itrix.uz/product/156", "🔗 Mahsulot sotib olish")</f>
        <v/>
      </c>
      <c r="I169" t="inlineStr">
        <is>
          <t>2-156-162</t>
        </is>
      </c>
    </row>
    <row r="170" ht="30" customHeight="1">
      <c r="A170" s="4" t="inlineStr">
        <is>
          <t>Tarkibiy qismlar</t>
        </is>
      </c>
      <c r="B170" s="4" t="inlineStr">
        <is>
          <t>On-line uzluksiz quvvat manbai 40 kVA Intelligent SNR</t>
        </is>
      </c>
      <c r="C170" s="5" t="inlineStr"/>
      <c r="D170" s="5" t="n">
        <v>57349760</v>
      </c>
      <c r="E170" s="5" t="n">
        <v>51205143</v>
      </c>
      <c r="F170" s="5" t="inlineStr"/>
      <c r="G170" s="5" t="inlineStr">
        <is>
          <t>SNR</t>
        </is>
      </c>
      <c r="H170" s="5">
        <f>HYPERLINK("https://itrix.uz/product/884", "🔗 Mahsulot sotib olish")</f>
        <v/>
      </c>
      <c r="I170" t="inlineStr">
        <is>
          <t>2-884-774</t>
        </is>
      </c>
    </row>
    <row r="171" ht="30" customHeight="1">
      <c r="A171" s="4" t="inlineStr">
        <is>
          <t>Quvvat ta'minoti</t>
        </is>
      </c>
      <c r="B171" s="4" t="inlineStr">
        <is>
          <t>Dell 2400W Platinum darajadagi quvvat bloki (PSU)</t>
        </is>
      </c>
      <c r="C171" s="5" t="inlineStr"/>
      <c r="D171" s="5" t="n">
        <v>8700384</v>
      </c>
      <c r="E171" s="5" t="n">
        <v>7768200</v>
      </c>
      <c r="F171" s="5" t="inlineStr"/>
      <c r="G171" s="5" t="inlineStr"/>
      <c r="H171" s="5">
        <f>HYPERLINK("https://itrix.uz/product/564", "🔗 Mahsulot sotib olish")</f>
        <v/>
      </c>
      <c r="I171" t="inlineStr">
        <is>
          <t>2-564-527</t>
        </is>
      </c>
    </row>
    <row r="172" ht="30" customHeight="1">
      <c r="A172" s="4" t="inlineStr">
        <is>
          <t>Aksessuarlar</t>
        </is>
      </c>
      <c r="B172" s="4" t="inlineStr">
        <is>
          <t>Mellanox ConnectX-5 MCX556A-ECAT 2x 100GbE QSFP28 tarmoq kartasi, PCIe x16</t>
        </is>
      </c>
      <c r="C172" s="5" t="inlineStr"/>
      <c r="D172" s="5" t="n">
        <v>40656000</v>
      </c>
      <c r="E172" s="5" t="n">
        <v>36300000</v>
      </c>
      <c r="F172" s="5" t="inlineStr"/>
      <c r="G172" s="5" t="inlineStr"/>
      <c r="H172" s="5">
        <f>HYPERLINK("https://itrix.uz/product/557", "🔗 Mahsulot sotib olish")</f>
        <v/>
      </c>
      <c r="I172" t="inlineStr">
        <is>
          <t>2-557-520</t>
        </is>
      </c>
    </row>
    <row r="173" ht="30" customHeight="1">
      <c r="A173" s="4" t="inlineStr">
        <is>
          <t>Aksessuarlar</t>
        </is>
      </c>
      <c r="B173" s="4" t="inlineStr">
        <is>
          <t>ZTT LC–LC OM4/LSZH duplex 3m patch-kabel</t>
        </is>
      </c>
      <c r="C173" s="5" t="inlineStr"/>
      <c r="D173" s="5" t="n">
        <v>1897280</v>
      </c>
      <c r="E173" s="5" t="n">
        <v>1694000</v>
      </c>
      <c r="F173" s="5" t="inlineStr"/>
      <c r="G173" s="5" t="inlineStr"/>
      <c r="H173" s="5">
        <f>HYPERLINK("https://itrix.uz/product/562", "🔗 Mahsulot sotib olish")</f>
        <v/>
      </c>
      <c r="I173" t="inlineStr">
        <is>
          <t>2-562-525</t>
        </is>
      </c>
    </row>
    <row r="174" ht="30" customHeight="1">
      <c r="A174" s="4" t="inlineStr">
        <is>
          <t>Tarkibiy qismlar</t>
        </is>
      </c>
      <c r="B174" s="4" t="inlineStr">
        <is>
          <t>Western Digital My Book 8TB tashqi qattiq disk (USB 3.0)</t>
        </is>
      </c>
      <c r="C174" s="5" t="inlineStr"/>
      <c r="D174" s="5" t="n">
        <v>12142592</v>
      </c>
      <c r="E174" s="5" t="n">
        <v>10841600</v>
      </c>
      <c r="F174" s="5" t="inlineStr"/>
      <c r="G174" s="5" t="inlineStr">
        <is>
          <t>Western Digital</t>
        </is>
      </c>
      <c r="H174" s="5">
        <f>HYPERLINK("https://itrix.uz/product/596", "🔗 Mahsulot sotib olish")</f>
        <v/>
      </c>
      <c r="I174" t="inlineStr">
        <is>
          <t>2-596-551</t>
        </is>
      </c>
    </row>
    <row r="175" ht="30" customHeight="1">
      <c r="A175" s="4" t="inlineStr">
        <is>
          <t>Aksessuarlar</t>
        </is>
      </c>
      <c r="B175" s="4" t="inlineStr">
        <is>
          <t>Extralink DAC kabeli QSFP28, 100Gb/s, 1 metr, passiv</t>
        </is>
      </c>
      <c r="C175" s="5" t="inlineStr"/>
      <c r="D175" s="5" t="n">
        <v>867328</v>
      </c>
      <c r="E175" s="5" t="n">
        <v>774400</v>
      </c>
      <c r="F175" s="5" t="inlineStr"/>
      <c r="G175" s="5" t="inlineStr"/>
      <c r="H175" s="5">
        <f>HYPERLINK("https://itrix.uz/product/560", "🔗 Mahsulot sotib olish")</f>
        <v/>
      </c>
      <c r="I175" t="inlineStr">
        <is>
          <t>2-560-523</t>
        </is>
      </c>
    </row>
    <row r="176" ht="30" customHeight="1">
      <c r="A176" s="4" t="inlineStr">
        <is>
          <t>Aksessuarlar</t>
        </is>
      </c>
      <c r="B176" s="4" t="inlineStr">
        <is>
          <t>LC/UPC–SC/UPC SM G.657.A1 3 metrli optik patch-kabel</t>
        </is>
      </c>
      <c r="C176" s="5" t="inlineStr"/>
      <c r="D176" s="5" t="n">
        <v>108416</v>
      </c>
      <c r="E176" s="5" t="n">
        <v>96800</v>
      </c>
      <c r="F176" s="5" t="inlineStr"/>
      <c r="G176" s="5" t="inlineStr"/>
      <c r="H176" s="5">
        <f>HYPERLINK("https://itrix.uz/product/563", "🔗 Mahsulot sotib olish")</f>
        <v/>
      </c>
      <c r="I176" t="inlineStr">
        <is>
          <t>2-563-526</t>
        </is>
      </c>
    </row>
    <row r="177" ht="30" customHeight="1">
      <c r="A177" s="4" t="inlineStr">
        <is>
          <t>Aksessuarlar</t>
        </is>
      </c>
      <c r="B177" s="4" t="inlineStr">
        <is>
          <t>Dell SFP28 SR 25GbE optik moduli, 85°C gacha, barcha SFP28 portlari uchun</t>
        </is>
      </c>
      <c r="C177" s="5" t="inlineStr"/>
      <c r="D177" s="5" t="n">
        <v>1815968</v>
      </c>
      <c r="E177" s="5" t="n">
        <v>1621400</v>
      </c>
      <c r="F177" s="5" t="inlineStr"/>
      <c r="G177" s="5" t="inlineStr">
        <is>
          <t>Dell</t>
        </is>
      </c>
      <c r="H177" s="5">
        <f>HYPERLINK("https://itrix.uz/product/559", "🔗 Mahsulot sotib olish")</f>
        <v/>
      </c>
      <c r="I177" t="inlineStr">
        <is>
          <t>2-559-522</t>
        </is>
      </c>
    </row>
    <row r="178" ht="30" customHeight="1">
      <c r="A178" s="4" t="inlineStr">
        <is>
          <t>Tarkibiy qismlar</t>
        </is>
      </c>
      <c r="B178" s="4" t="inlineStr">
        <is>
          <t>SNR ELEMENT II Onlayn UPS 2000VA/2000W (PF-1.0)</t>
        </is>
      </c>
      <c r="C178" s="5" t="inlineStr"/>
      <c r="D178" s="5" t="n">
        <v>8253168</v>
      </c>
      <c r="E178" s="5" t="n">
        <v>7368900</v>
      </c>
      <c r="F178" s="5" t="inlineStr"/>
      <c r="G178" s="5" t="inlineStr">
        <is>
          <t>SNR</t>
        </is>
      </c>
      <c r="H178" s="5">
        <f>HYPERLINK("https://itrix.uz/product/886", "🔗 Mahsulot sotib olish")</f>
        <v/>
      </c>
      <c r="I178" t="inlineStr">
        <is>
          <t>2-886-776</t>
        </is>
      </c>
    </row>
    <row r="179" ht="30" customHeight="1">
      <c r="A179" s="4" t="inlineStr">
        <is>
          <t>Dasturiy ta'minot litsenziyalari</t>
        </is>
      </c>
      <c r="B179" s="4" t="inlineStr">
        <is>
          <t>VMware vSphere 8 Enterprise Plus litsenziyasi (1 ta CPU uchun)</t>
        </is>
      </c>
      <c r="C179" s="5" t="inlineStr"/>
      <c r="D179" s="5" t="n">
        <v>10841600</v>
      </c>
      <c r="E179" s="5" t="n">
        <v>9680000</v>
      </c>
      <c r="F179" s="5" t="inlineStr"/>
      <c r="G179" s="5" t="inlineStr"/>
      <c r="H179" s="5">
        <f>HYPERLINK("https://itrix.uz/product/566", "🔗 Mahsulot sotib olish")</f>
        <v/>
      </c>
      <c r="I179" t="inlineStr">
        <is>
          <t>2-566-528</t>
        </is>
      </c>
    </row>
    <row r="180" ht="30" customHeight="1">
      <c r="A180" s="4" t="inlineStr">
        <is>
          <t>Dasturiy ta'minot litsenziyalari</t>
        </is>
      </c>
      <c r="B180" s="4" t="inlineStr">
        <is>
          <t>VMware vCenter Server Standard + SnS 3 yilga</t>
        </is>
      </c>
      <c r="C180" s="5" t="inlineStr"/>
      <c r="D180" s="5" t="n">
        <v>20328000</v>
      </c>
      <c r="E180" s="5" t="n">
        <v>18150000</v>
      </c>
      <c r="F180" s="5" t="inlineStr"/>
      <c r="G180" s="5" t="inlineStr"/>
      <c r="H180" s="5">
        <f>HYPERLINK("https://itrix.uz/product/567", "🔗 Mahsulot sotib olish")</f>
        <v/>
      </c>
      <c r="I180" t="inlineStr">
        <is>
          <t>2-567-529</t>
        </is>
      </c>
    </row>
    <row r="181" ht="30" customHeight="1">
      <c r="A181" s="4" t="inlineStr">
        <is>
          <t>Dasturiy ta'minot litsenziyalari</t>
        </is>
      </c>
      <c r="B181" s="4" t="inlineStr">
        <is>
          <t>VMware vSphere SnS (yordam va obuna) – 3 yilga</t>
        </is>
      </c>
      <c r="C181" s="5" t="inlineStr"/>
      <c r="D181" s="5" t="n">
        <v>4065600</v>
      </c>
      <c r="E181" s="5" t="n">
        <v>3630000</v>
      </c>
      <c r="F181" s="5" t="inlineStr"/>
      <c r="G181" s="5" t="inlineStr"/>
      <c r="H181" s="5">
        <f>HYPERLINK("https://itrix.uz/product/568", "🔗 Mahsulot sotib olish")</f>
        <v/>
      </c>
      <c r="I181" t="inlineStr">
        <is>
          <t>2-568-530</t>
        </is>
      </c>
    </row>
    <row r="182" ht="30" customHeight="1">
      <c r="A182" s="4" t="inlineStr">
        <is>
          <t>SSD qattiq disklari</t>
        </is>
      </c>
      <c r="B182" s="4" t="inlineStr">
        <is>
          <t xml:space="preserve"> SSD nakoplagich HPE 7.68TB SAS RI BC SED FIPS PM6</t>
        </is>
      </c>
      <c r="C182" s="5" t="inlineStr"/>
      <c r="D182" s="5" t="n">
        <v>162122576</v>
      </c>
      <c r="E182" s="5" t="n">
        <v>144752300</v>
      </c>
      <c r="F182" s="5" t="inlineStr"/>
      <c r="G182" s="5" t="inlineStr">
        <is>
          <t>HPE</t>
        </is>
      </c>
      <c r="H182" s="5">
        <f>HYPERLINK("https://itrix.uz/product/525", "🔗 Mahsulot sotib olish")</f>
        <v/>
      </c>
      <c r="I182" t="inlineStr">
        <is>
          <t>2-525-499</t>
        </is>
      </c>
    </row>
    <row r="183" ht="30" customHeight="1">
      <c r="A183" s="4" t="inlineStr">
        <is>
          <t>Aksessuarlar</t>
        </is>
      </c>
      <c r="B183" s="4" t="inlineStr">
        <is>
          <t>C13 – C14 quvvat kabeli, 2.5 metr</t>
        </is>
      </c>
      <c r="C183" s="5" t="inlineStr"/>
      <c r="D183" s="5" t="n">
        <v>216832</v>
      </c>
      <c r="E183" s="5" t="n">
        <v>193600</v>
      </c>
      <c r="F183" s="5" t="inlineStr"/>
      <c r="G183" s="5" t="inlineStr"/>
      <c r="H183" s="5">
        <f>HYPERLINK("https://itrix.uz/product/545", "🔗 Mahsulot sotib olish")</f>
        <v/>
      </c>
      <c r="I183" t="inlineStr">
        <is>
          <t>2-545-509</t>
        </is>
      </c>
    </row>
    <row r="184" ht="30" customHeight="1">
      <c r="A184" s="4" t="inlineStr">
        <is>
          <t>M2 SATA disklar</t>
        </is>
      </c>
      <c r="B184" s="4" t="inlineStr">
        <is>
          <t>HPE 480GB SATA RI SSD M.2 6G xotira qurilmasi</t>
        </is>
      </c>
      <c r="C184" s="5" t="inlineStr"/>
      <c r="D184" s="5" t="n">
        <v>2994992</v>
      </c>
      <c r="E184" s="5" t="n">
        <v>2674100</v>
      </c>
      <c r="F184" s="5" t="inlineStr"/>
      <c r="G184" s="5" t="inlineStr">
        <is>
          <t>HPE</t>
        </is>
      </c>
      <c r="H184" s="5">
        <f>HYPERLINK("https://itrix.uz/product/540", "🔗 Mahsulot sotib olish")</f>
        <v/>
      </c>
      <c r="I184" t="inlineStr">
        <is>
          <t>2-540-505</t>
        </is>
      </c>
    </row>
    <row r="185" ht="30" customHeight="1">
      <c r="A185" s="4" t="inlineStr">
        <is>
          <t>Protsessorlar</t>
        </is>
      </c>
      <c r="B185" s="4" t="inlineStr">
        <is>
          <t xml:space="preserve"> Intel Xeon Gold 6448H (2.4GHz / 32 yadro / 250W) </t>
        </is>
      </c>
      <c r="C185" s="5" t="inlineStr"/>
      <c r="D185" s="5" t="n">
        <v>157203200</v>
      </c>
      <c r="E185" s="5" t="n">
        <v>140360000</v>
      </c>
      <c r="F185" s="5" t="inlineStr"/>
      <c r="G185" s="5" t="inlineStr">
        <is>
          <t>Intel</t>
        </is>
      </c>
      <c r="H185" s="5">
        <f>HYPERLINK("https://itrix.uz/product/538", "🔗 Mahsulot sotib olish")</f>
        <v/>
      </c>
      <c r="I185" t="inlineStr">
        <is>
          <t>2-538-503</t>
        </is>
      </c>
    </row>
    <row r="186" ht="30" customHeight="1">
      <c r="A186" s="4" t="inlineStr">
        <is>
          <t>Dasturiy ta'minot litsenziyalari</t>
        </is>
      </c>
      <c r="B186" s="4" t="inlineStr">
        <is>
          <t>FortiGuard Enterprise Protection Bundle – 3 yillik litsenziya</t>
        </is>
      </c>
      <c r="C186" s="5" t="inlineStr"/>
      <c r="D186" s="5" t="n">
        <v>206966144</v>
      </c>
      <c r="E186" s="5" t="n">
        <v>184791200</v>
      </c>
      <c r="F186" s="5" t="inlineStr"/>
      <c r="G186" s="5" t="inlineStr"/>
      <c r="H186" s="5">
        <f>HYPERLINK("https://itrix.uz/product/611", "🔗 Mahsulot sotib olish")</f>
        <v/>
      </c>
      <c r="I186" t="inlineStr">
        <is>
          <t>2-611-565</t>
        </is>
      </c>
    </row>
    <row r="187" ht="30" customHeight="1">
      <c r="A187" s="4" t="inlineStr">
        <is>
          <t>Aksessuarlar</t>
        </is>
      </c>
      <c r="B187" s="4" t="inlineStr">
        <is>
          <t>HPE SN1700Q 64Gb DP FC HBA (R7N87A) adapteri — ikki portli Fibre Channel host adapter</t>
        </is>
      </c>
      <c r="C187" s="5" t="inlineStr"/>
      <c r="D187" s="5" t="n">
        <v>41252288</v>
      </c>
      <c r="E187" s="5" t="n">
        <v>36832400</v>
      </c>
      <c r="F187" s="5" t="inlineStr"/>
      <c r="G187" s="5" t="inlineStr">
        <is>
          <t>HPE</t>
        </is>
      </c>
      <c r="H187" s="5">
        <f>HYPERLINK("https://itrix.uz/product/541", "🔗 Mahsulot sotib olish")</f>
        <v/>
      </c>
      <c r="I187" t="inlineStr">
        <is>
          <t>2-541-506</t>
        </is>
      </c>
    </row>
    <row r="188" ht="30" customHeight="1">
      <c r="A188" s="4" t="inlineStr">
        <is>
          <t>Aksessuarlar</t>
        </is>
      </c>
      <c r="B188" s="4" t="inlineStr">
        <is>
          <t>HPE DL380/DL560 G11 yuqori unumli 2U sovitish (Heat Sink) to‘plami</t>
        </is>
      </c>
      <c r="C188" s="5" t="inlineStr"/>
      <c r="D188" s="5" t="n">
        <v>2032800</v>
      </c>
      <c r="E188" s="5" t="n">
        <v>1815000</v>
      </c>
      <c r="F188" s="5" t="inlineStr"/>
      <c r="G188" s="5" t="inlineStr">
        <is>
          <t>HPE</t>
        </is>
      </c>
      <c r="H188" s="5">
        <f>HYPERLINK("https://itrix.uz/product/526", "🔗 Mahsulot sotib olish")</f>
        <v/>
      </c>
      <c r="I188" t="inlineStr">
        <is>
          <t>2-526-500</t>
        </is>
      </c>
    </row>
    <row r="189" ht="30" customHeight="1">
      <c r="A189" s="4" t="inlineStr">
        <is>
          <t>Aksessuarlar</t>
        </is>
      </c>
      <c r="B189" s="4" t="inlineStr">
        <is>
          <t xml:space="preserve"> Dell HBA330 tashqi boshqaruvchisi</t>
        </is>
      </c>
      <c r="C189" s="5" t="inlineStr"/>
      <c r="D189" s="5" t="n">
        <v>2642640</v>
      </c>
      <c r="E189" s="5" t="n">
        <v>2359500</v>
      </c>
      <c r="F189" s="5" t="inlineStr"/>
      <c r="G189" s="5" t="inlineStr">
        <is>
          <t>Dell</t>
        </is>
      </c>
      <c r="H189" s="5">
        <f>HYPERLINK("https://itrix.uz/product/518", "🔗 Mahsulot sotib olish")</f>
        <v/>
      </c>
      <c r="I189" t="inlineStr">
        <is>
          <t>2-518-494</t>
        </is>
      </c>
    </row>
    <row r="190" ht="30" customHeight="1">
      <c r="A190" s="4" t="inlineStr">
        <is>
          <t>Tezkor xotira (RAM)</t>
        </is>
      </c>
      <c r="B190" s="4" t="inlineStr">
        <is>
          <t xml:space="preserve"> HPE P52600-001 128GB 4Rx4 PC5-4800B-R 3DS Smart to‘plami</t>
        </is>
      </c>
      <c r="C190" s="5" t="inlineStr"/>
      <c r="D190" s="5" t="n">
        <v>121968000</v>
      </c>
      <c r="E190" s="5" t="n">
        <v>108900000</v>
      </c>
      <c r="F190" s="5" t="inlineStr"/>
      <c r="G190" s="5" t="inlineStr">
        <is>
          <t>HPE</t>
        </is>
      </c>
      <c r="H190" s="5">
        <f>HYPERLINK("https://itrix.uz/product/522", "🔗 Mahsulot sotib olish")</f>
        <v/>
      </c>
      <c r="I190" t="inlineStr">
        <is>
          <t>2-522-496</t>
        </is>
      </c>
    </row>
    <row r="191" ht="30" customHeight="1">
      <c r="A191" s="4" t="inlineStr">
        <is>
          <t>Quvvat ta'minoti</t>
        </is>
      </c>
      <c r="B191" s="4" t="inlineStr">
        <is>
          <t>DELL Power Supply (1 PSU) 1100W Hot Plug, Mixed Mode, G15 uchun to‘plam</t>
        </is>
      </c>
      <c r="C191" s="5" t="inlineStr"/>
      <c r="D191" s="5" t="n">
        <v>3049200</v>
      </c>
      <c r="E191" s="5" t="n">
        <v>2722500</v>
      </c>
      <c r="F191" s="5" t="inlineStr"/>
      <c r="G191" s="5" t="inlineStr">
        <is>
          <t>Dell</t>
        </is>
      </c>
      <c r="H191" s="5">
        <f>HYPERLINK("https://itrix.uz/product/158", "🔗 Mahsulot sotib olish")</f>
        <v/>
      </c>
      <c r="I191" t="inlineStr">
        <is>
          <t>2-158-164</t>
        </is>
      </c>
    </row>
    <row r="192" ht="30" customHeight="1">
      <c r="A192" s="4" t="inlineStr">
        <is>
          <t>Tezkor xotira (RAM)</t>
        </is>
      </c>
      <c r="B192" s="4" t="inlineStr">
        <is>
          <t>Samsung 32GB DDR4-3200 operativ xotira</t>
        </is>
      </c>
      <c r="C192" s="5" t="inlineStr"/>
      <c r="D192" s="5" t="n">
        <v>1490720</v>
      </c>
      <c r="E192" s="5" t="n">
        <v>1331000</v>
      </c>
      <c r="F192" s="5" t="inlineStr"/>
      <c r="G192" s="5" t="inlineStr">
        <is>
          <t>Samsung</t>
        </is>
      </c>
      <c r="H192" s="5">
        <f>HYPERLINK("https://itrix.uz/product/85", "🔗 Mahsulot sotib olish")</f>
        <v/>
      </c>
      <c r="I192" t="inlineStr">
        <is>
          <t>2-85-91</t>
        </is>
      </c>
    </row>
    <row r="193" ht="30" customHeight="1">
      <c r="A193" s="4" t="inlineStr">
        <is>
          <t>Aksessuarlar</t>
        </is>
      </c>
      <c r="B193" s="4" t="inlineStr">
        <is>
          <t>2.5 dan 3.5 ga o‘tkazuvchi Tray adapter</t>
        </is>
      </c>
      <c r="C193" s="5" t="inlineStr"/>
      <c r="D193" s="5" t="n">
        <v>121968</v>
      </c>
      <c r="E193" s="5" t="n">
        <v>108900</v>
      </c>
      <c r="F193" s="5" t="inlineStr"/>
      <c r="G193" s="5" t="inlineStr"/>
      <c r="H193" s="5">
        <f>HYPERLINK("https://itrix.uz/product/647", "🔗 Mahsulot sotib olish")</f>
        <v/>
      </c>
      <c r="I193" t="inlineStr">
        <is>
          <t>2-647-585</t>
        </is>
      </c>
    </row>
    <row r="194" ht="30" customHeight="1">
      <c r="A194" s="4" t="inlineStr">
        <is>
          <t>Tarkibiy qismlar</t>
        </is>
      </c>
      <c r="B194" s="4" t="inlineStr">
        <is>
          <t>On-line SNR Intelligent seriyali 1000 VA, 36VDC uzluksiz quvvat manbai</t>
        </is>
      </c>
      <c r="C194" s="5" t="inlineStr"/>
      <c r="D194" s="5" t="n">
        <v>4367945</v>
      </c>
      <c r="E194" s="5" t="n">
        <v>3899951</v>
      </c>
      <c r="F194" s="5" t="inlineStr"/>
      <c r="G194" s="5" t="inlineStr">
        <is>
          <t>SNR</t>
        </is>
      </c>
      <c r="H194" s="5">
        <f>HYPERLINK("https://itrix.uz/product/893", "🔗 Mahsulot sotib olish")</f>
        <v/>
      </c>
      <c r="I194" t="inlineStr">
        <is>
          <t>2-893-783</t>
        </is>
      </c>
    </row>
    <row r="195" ht="30" customHeight="1">
      <c r="A195" s="4" t="inlineStr">
        <is>
          <t>Aksessuarlar</t>
        </is>
      </c>
      <c r="B195" s="4" t="inlineStr">
        <is>
          <t>Dell uchun 3.5" qattiq disk uchun tray (salazka)</t>
        </is>
      </c>
      <c r="C195" s="5" t="inlineStr"/>
      <c r="D195" s="5" t="n">
        <v>124678</v>
      </c>
      <c r="E195" s="5" t="n">
        <v>111320</v>
      </c>
      <c r="F195" s="5" t="inlineStr"/>
      <c r="G195" s="5" t="inlineStr"/>
      <c r="H195" s="5">
        <f>HYPERLINK("https://itrix.uz/product/649", "🔗 Mahsulot sotib olish")</f>
        <v/>
      </c>
      <c r="I195" t="inlineStr">
        <is>
          <t>2-649-586</t>
        </is>
      </c>
    </row>
    <row r="196" ht="30" customHeight="1">
      <c r="A196" s="4" t="inlineStr">
        <is>
          <t>Tarkibiy qismlar</t>
        </is>
      </c>
      <c r="B196" s="4" t="inlineStr">
        <is>
          <t>SNR Intelligent 15 kVA (PF1.0) On-line uzluksiz quvvat manbai</t>
        </is>
      </c>
      <c r="C196" s="5" t="inlineStr"/>
      <c r="D196" s="5" t="n">
        <v>34715616</v>
      </c>
      <c r="E196" s="5" t="n">
        <v>30996086</v>
      </c>
      <c r="F196" s="5" t="inlineStr"/>
      <c r="G196" s="5" t="inlineStr">
        <is>
          <t>SNR</t>
        </is>
      </c>
      <c r="H196" s="5">
        <f>HYPERLINK("https://itrix.uz/product/887", "🔗 Mahsulot sotib olish")</f>
        <v/>
      </c>
      <c r="I196" t="inlineStr">
        <is>
          <t>2-887-777</t>
        </is>
      </c>
    </row>
    <row r="197" ht="30" customHeight="1">
      <c r="A197" s="4" t="inlineStr">
        <is>
          <t>Dasturiy ta'minot litsenziyalari</t>
        </is>
      </c>
      <c r="B197" s="4" t="inlineStr">
        <is>
          <t>HPE iLO 6 Enterprise litsenziyasi - 1 yil</t>
        </is>
      </c>
      <c r="C197" s="5" t="inlineStr"/>
      <c r="D197" s="5" t="n">
        <v>6098400</v>
      </c>
      <c r="E197" s="5" t="n">
        <v>5445000</v>
      </c>
      <c r="F197" s="5" t="inlineStr"/>
      <c r="G197" s="5" t="inlineStr">
        <is>
          <t>HPE</t>
        </is>
      </c>
      <c r="H197" s="5">
        <f>HYPERLINK("https://itrix.uz/product/542", "🔗 Mahsulot sotib olish")</f>
        <v/>
      </c>
      <c r="I197" t="inlineStr">
        <is>
          <t>2-542-507</t>
        </is>
      </c>
    </row>
    <row r="198" ht="30" customHeight="1">
      <c r="A198" s="4" t="inlineStr">
        <is>
          <t>Tarkibiy qismlar</t>
        </is>
      </c>
      <c r="B198" s="4" t="inlineStr">
        <is>
          <t>SNR SМ серия UPS uchun 15 kVA / 15 kVt quvvat moduli (SNR-UPS-ONPM-15CMX33)</t>
        </is>
      </c>
      <c r="C198" s="5" t="inlineStr"/>
      <c r="D198" s="5" t="n">
        <v>34594055</v>
      </c>
      <c r="E198" s="5" t="n">
        <v>30887549</v>
      </c>
      <c r="F198" s="5" t="inlineStr"/>
      <c r="G198" s="5" t="inlineStr">
        <is>
          <t>SNR</t>
        </is>
      </c>
      <c r="H198" s="5">
        <f>HYPERLINK("https://itrix.uz/product/888", "🔗 Mahsulot sotib olish")</f>
        <v/>
      </c>
      <c r="I198" t="inlineStr">
        <is>
          <t>2-888-778</t>
        </is>
      </c>
    </row>
    <row r="199" ht="30" customHeight="1">
      <c r="A199" s="4" t="inlineStr">
        <is>
          <t>Tarkibiy qismlar</t>
        </is>
      </c>
      <c r="B199" s="4" t="inlineStr">
        <is>
          <t>On-line uzluksiz quvvat manbai, 10 000 VA Intelligent seriyasi (SNR-UPS-ONRT-10000-INT)</t>
        </is>
      </c>
      <c r="C199" s="5" t="inlineStr"/>
      <c r="D199" s="5" t="n">
        <v>21357545</v>
      </c>
      <c r="E199" s="5" t="n">
        <v>19069237</v>
      </c>
      <c r="F199" s="5" t="inlineStr"/>
      <c r="G199" s="5" t="inlineStr">
        <is>
          <t>SNR</t>
        </is>
      </c>
      <c r="H199" s="5">
        <f>HYPERLINK("https://itrix.uz/product/896", "🔗 Mahsulot sotib olish")</f>
        <v/>
      </c>
      <c r="I199" t="inlineStr">
        <is>
          <t>2-896-786</t>
        </is>
      </c>
    </row>
    <row r="200" ht="30" customHeight="1">
      <c r="A200" s="4" t="inlineStr">
        <is>
          <t>Aksessuarlar</t>
        </is>
      </c>
      <c r="B200" s="4" t="inlineStr">
        <is>
          <t>USB garnitura Grandstream GUV3000</t>
        </is>
      </c>
      <c r="C200" s="5" t="inlineStr"/>
      <c r="D200" s="5" t="n">
        <v>390298</v>
      </c>
      <c r="E200" s="5" t="n">
        <v>348480</v>
      </c>
      <c r="F200" s="5" t="inlineStr"/>
      <c r="G200" s="5" t="inlineStr">
        <is>
          <t>Grandstream</t>
        </is>
      </c>
      <c r="H200" s="5">
        <f>HYPERLINK("https://itrix.uz/product/939", "🔗 Mahsulot sotib olish")</f>
        <v/>
      </c>
      <c r="I200" t="inlineStr">
        <is>
          <t>2-939-829</t>
        </is>
      </c>
    </row>
    <row r="201" ht="30" customHeight="1">
      <c r="A201" s="4" t="inlineStr">
        <is>
          <t>Aksessuarlar</t>
        </is>
      </c>
      <c r="B201" s="4" t="inlineStr">
        <is>
          <t xml:space="preserve"> FS 3m (10ft) 25G SFP28 passiv mis Twinax ulovchi kabel (FS switchlar uchun)</t>
        </is>
      </c>
      <c r="C201" s="5" t="inlineStr"/>
      <c r="D201" s="5" t="n">
        <v>596288</v>
      </c>
      <c r="E201" s="5" t="n">
        <v>532400</v>
      </c>
      <c r="F201" s="5" t="inlineStr"/>
      <c r="G201" s="5" t="inlineStr"/>
      <c r="H201" s="5">
        <f>HYPERLINK("https://itrix.uz/product/561", "🔗 Mahsulot sotib olish")</f>
        <v/>
      </c>
      <c r="I201" t="inlineStr">
        <is>
          <t>2-561-524</t>
        </is>
      </c>
    </row>
    <row r="202" ht="30" customHeight="1">
      <c r="A202" s="4" t="inlineStr">
        <is>
          <t>Aksessuarlar</t>
        </is>
      </c>
      <c r="B202" s="4" t="inlineStr">
        <is>
          <t>Brocade 64G FC SFP+ SWL (qisqa masofali) optik moduli, G720 bilan mos</t>
        </is>
      </c>
      <c r="C202" s="5" t="inlineStr"/>
      <c r="D202" s="5" t="n">
        <v>5068448</v>
      </c>
      <c r="E202" s="5" t="n">
        <v>4525400</v>
      </c>
      <c r="F202" s="5" t="inlineStr"/>
      <c r="G202" s="5" t="inlineStr"/>
      <c r="H202" s="5">
        <f>HYPERLINK("https://itrix.uz/product/554", "🔗 Mahsulot sotib olish")</f>
        <v/>
      </c>
      <c r="I202" t="inlineStr">
        <is>
          <t>2-554-517</t>
        </is>
      </c>
    </row>
    <row r="203" ht="30" customHeight="1">
      <c r="A203" s="4" t="inlineStr">
        <is>
          <t>Aksessuarlar</t>
        </is>
      </c>
      <c r="B203" s="4" t="inlineStr">
        <is>
          <t>Dell Networking 100GbE QSFP28 SR4 optik moduli, MPO, MMF (4x25GbE SFP28 SR rejimi)</t>
        </is>
      </c>
      <c r="C203" s="5" t="inlineStr"/>
      <c r="D203" s="5" t="n">
        <v>2222528</v>
      </c>
      <c r="E203" s="5" t="n">
        <v>1984400</v>
      </c>
      <c r="F203" s="5" t="inlineStr"/>
      <c r="G203" s="5" t="inlineStr"/>
      <c r="H203" s="5">
        <f>HYPERLINK("https://itrix.uz/product/558", "🔗 Mahsulot sotib olish")</f>
        <v/>
      </c>
      <c r="I203" t="inlineStr">
        <is>
          <t>2-558-521</t>
        </is>
      </c>
    </row>
    <row r="204" ht="30" customHeight="1">
      <c r="A204" s="4" t="inlineStr">
        <is>
          <t>Tarkibiy qismlar</t>
        </is>
      </c>
      <c r="B204" s="4" t="inlineStr">
        <is>
          <t>Shassi modulli uzluksiz quvvat manbai 30 kVA/30 kW, 2 modul uchun (SNR-UPS-ONRT-030-15CMX33)</t>
        </is>
      </c>
      <c r="C204" s="5" t="inlineStr"/>
      <c r="D204" s="5" t="n">
        <v>50616584</v>
      </c>
      <c r="E204" s="5" t="n">
        <v>45193379</v>
      </c>
      <c r="F204" s="5" t="inlineStr"/>
      <c r="G204" s="5" t="inlineStr">
        <is>
          <t>SNR</t>
        </is>
      </c>
      <c r="H204" s="5">
        <f>HYPERLINK("https://itrix.uz/product/889", "🔗 Mahsulot sotib olish")</f>
        <v/>
      </c>
      <c r="I204" t="inlineStr">
        <is>
          <t>2-889-779</t>
        </is>
      </c>
    </row>
    <row r="205" ht="30" customHeight="1">
      <c r="A205" s="4" t="inlineStr">
        <is>
          <t>Tarkibiy qismlar</t>
        </is>
      </c>
      <c r="B205" s="4" t="inlineStr">
        <is>
          <t>Uzluksiz quvvat manbainlai UPS SNR Intelligent 3000 VA, 96VDC</t>
        </is>
      </c>
      <c r="C205" s="5" t="inlineStr"/>
      <c r="D205" s="5" t="n">
        <v>11028753</v>
      </c>
      <c r="E205" s="5" t="n">
        <v>9847101</v>
      </c>
      <c r="F205" s="5" t="inlineStr"/>
      <c r="G205" s="5" t="inlineStr">
        <is>
          <t>SNR</t>
        </is>
      </c>
      <c r="H205" s="5">
        <f>HYPERLINK("https://itrix.uz/product/890", "🔗 Mahsulot sotib olish")</f>
        <v/>
      </c>
      <c r="I205" t="inlineStr">
        <is>
          <t>2-890-780</t>
        </is>
      </c>
    </row>
    <row r="206" ht="30" customHeight="1">
      <c r="A206" s="4" t="inlineStr">
        <is>
          <t>Tarkibiy qismlar</t>
        </is>
      </c>
      <c r="B206" s="4" t="inlineStr">
        <is>
          <t>On-line uzluksiz quvvat manbai SNR Intelligent seriyasi 2000 VA, 72VDC</t>
        </is>
      </c>
      <c r="C206" s="5" t="inlineStr"/>
      <c r="D206" s="5" t="n">
        <v>6753504</v>
      </c>
      <c r="E206" s="5" t="n">
        <v>6029914</v>
      </c>
      <c r="F206" s="5" t="inlineStr"/>
      <c r="G206" s="5" t="inlineStr">
        <is>
          <t>SNR</t>
        </is>
      </c>
      <c r="H206" s="5">
        <f>HYPERLINK("https://itrix.uz/product/891", "🔗 Mahsulot sotib olish")</f>
        <v/>
      </c>
      <c r="I206" t="inlineStr">
        <is>
          <t>2-891-781</t>
        </is>
      </c>
    </row>
    <row r="207" ht="30" customHeight="1">
      <c r="A207" s="4" t="inlineStr">
        <is>
          <t>Tarkibiy qismlar</t>
        </is>
      </c>
      <c r="B207" s="4" t="inlineStr">
        <is>
          <t>On-line uzluksiz quvvat manbai, 25 kVA (PF1.0) Intelligent seriyasi (SNR-UPS-ONRT-25-INTXL33)</t>
        </is>
      </c>
      <c r="C207" s="5" t="inlineStr"/>
      <c r="D207" s="5" t="n">
        <v>59850782</v>
      </c>
      <c r="E207" s="5" t="n">
        <v>53438198</v>
      </c>
      <c r="F207" s="5" t="inlineStr"/>
      <c r="G207" s="5" t="inlineStr">
        <is>
          <t>SNR</t>
        </is>
      </c>
      <c r="H207" s="5">
        <f>HYPERLINK("https://itrix.uz/product/892", "🔗 Mahsulot sotib olish")</f>
        <v/>
      </c>
      <c r="I207" t="inlineStr">
        <is>
          <t>2-892-782</t>
        </is>
      </c>
    </row>
    <row r="208" ht="30" customHeight="1">
      <c r="A208" s="4" t="inlineStr">
        <is>
          <t>Tarkibiy qismlar</t>
        </is>
      </c>
      <c r="B208" s="4" t="inlineStr">
        <is>
          <t>SNR ELEMENT II(E) 3000VA/2700W onlayn UPS zaxira quvvat manbai</t>
        </is>
      </c>
      <c r="C208" s="5" t="inlineStr"/>
      <c r="D208" s="5" t="n">
        <v>7974268</v>
      </c>
      <c r="E208" s="5" t="n">
        <v>7119882</v>
      </c>
      <c r="F208" s="5" t="inlineStr"/>
      <c r="G208" s="5" t="inlineStr">
        <is>
          <t>SNR</t>
        </is>
      </c>
      <c r="H208" s="5">
        <f>HYPERLINK("https://itrix.uz/product/885", "🔗 Mahsulot sotib olish")</f>
        <v/>
      </c>
      <c r="I208" t="inlineStr">
        <is>
          <t>2-885-775</t>
        </is>
      </c>
    </row>
    <row r="209" ht="30" customHeight="1">
      <c r="A209" s="4" t="inlineStr">
        <is>
          <t>Video kartalar</t>
        </is>
      </c>
      <c r="B209" s="4" t="inlineStr">
        <is>
          <t>NVIDIA RTX PRO 5000 Blackwell 72GB videokartasi</t>
        </is>
      </c>
      <c r="C209" s="5" t="inlineStr"/>
      <c r="D209" s="5" t="n">
        <v>171568320</v>
      </c>
      <c r="E209" s="5" t="n">
        <v>153186000</v>
      </c>
      <c r="F209" s="5" t="inlineStr"/>
      <c r="G209" s="5" t="inlineStr">
        <is>
          <t>Nvidia</t>
        </is>
      </c>
      <c r="H209" s="5">
        <f>HYPERLINK("https://itrix.uz/product/1443", "🔗 Mahsulot sotib olish")</f>
        <v/>
      </c>
      <c r="I209" t="inlineStr">
        <is>
          <t>2-1443-1143</t>
        </is>
      </c>
    </row>
    <row r="210" ht="30" customHeight="1">
      <c r="A210" s="4" t="inlineStr">
        <is>
          <t>Video kartalar</t>
        </is>
      </c>
      <c r="B210" s="4" t="inlineStr">
        <is>
          <t>NVIDIA RTX PRO 6000 Blackwell Workstation Edition 96GB videokarta</t>
        </is>
      </c>
      <c r="C210" s="5" t="inlineStr"/>
      <c r="D210" s="5" t="n">
        <v>221168640</v>
      </c>
      <c r="E210" s="5" t="n">
        <v>197472000</v>
      </c>
      <c r="F210" s="5" t="inlineStr"/>
      <c r="G210" s="5" t="inlineStr">
        <is>
          <t>Nvidia</t>
        </is>
      </c>
      <c r="H210" s="5">
        <f>HYPERLINK("https://itrix.uz/product/1444", "🔗 Mahsulot sotib olish")</f>
        <v/>
      </c>
      <c r="I210" t="inlineStr">
        <is>
          <t>2-1444-1144</t>
        </is>
      </c>
    </row>
    <row r="211" ht="30" customHeight="1">
      <c r="A211" s="4" t="inlineStr">
        <is>
          <t>Quvvat ta'minoti</t>
        </is>
      </c>
      <c r="B211" s="4" t="inlineStr">
        <is>
          <t>Cisco PWR-C1-715WAC-P= quvvat manbai bloki</t>
        </is>
      </c>
      <c r="C211" s="5" t="inlineStr"/>
      <c r="D211" s="5" t="n">
        <v>24800160</v>
      </c>
      <c r="E211" s="5" t="n">
        <v>22143000</v>
      </c>
      <c r="F211" s="5" t="inlineStr"/>
      <c r="G211" s="5" t="inlineStr">
        <is>
          <t>Cisco</t>
        </is>
      </c>
      <c r="H211" s="5">
        <f>HYPERLINK("https://itrix.uz/product/1246", "🔗 Mahsulot sotib olish")</f>
        <v/>
      </c>
      <c r="I211" t="inlineStr">
        <is>
          <t>2-1246-957</t>
        </is>
      </c>
    </row>
    <row r="212" ht="30" customHeight="1">
      <c r="A212" s="4" t="inlineStr">
        <is>
          <t>Aksessuarlar</t>
        </is>
      </c>
      <c r="B212" s="4" t="inlineStr">
        <is>
          <t>Cisco HS-WL-730-BUNA-C quloqchin</t>
        </is>
      </c>
      <c r="C212" s="5" t="inlineStr"/>
      <c r="D212" s="5" t="n">
        <v>14912621</v>
      </c>
      <c r="E212" s="5" t="n">
        <v>13314840</v>
      </c>
      <c r="F212" s="5" t="inlineStr"/>
      <c r="G212" s="5" t="inlineStr">
        <is>
          <t>Cisco</t>
        </is>
      </c>
      <c r="H212" s="5">
        <f>HYPERLINK("https://itrix.uz/product/1158", "🔗 Mahsulot sotib olish")</f>
        <v/>
      </c>
      <c r="I212" t="inlineStr">
        <is>
          <t>2-1158-889</t>
        </is>
      </c>
    </row>
    <row r="213" ht="30" customHeight="1">
      <c r="A213" s="4" t="inlineStr">
        <is>
          <t>Quvvat ta'minoti</t>
        </is>
      </c>
      <c r="B213" s="4" t="inlineStr">
        <is>
          <t>APC Back-UPS BE850G2-GR uzluksiz quvvat manbai</t>
        </is>
      </c>
      <c r="C213" s="5" t="inlineStr"/>
      <c r="D213" s="5" t="n">
        <v>3902976</v>
      </c>
      <c r="E213" s="5" t="n">
        <v>3484800</v>
      </c>
      <c r="F213" s="5" t="inlineStr"/>
      <c r="G213" s="5" t="inlineStr">
        <is>
          <t>APC</t>
        </is>
      </c>
      <c r="H213" s="5">
        <f>HYPERLINK("https://itrix.uz/product/1162", "🔗 Mahsulot sotib olish")</f>
        <v/>
      </c>
      <c r="I213" t="inlineStr">
        <is>
          <t>2-1162-893</t>
        </is>
      </c>
    </row>
    <row r="214" ht="30" customHeight="1">
      <c r="A214" s="4" t="inlineStr">
        <is>
          <t>Quvvat ta'minoti</t>
        </is>
      </c>
      <c r="B214" s="4" t="inlineStr">
        <is>
          <t>APC UPS BE650G2-GR uzluksiz quvvat manbai</t>
        </is>
      </c>
      <c r="C214" s="5" t="inlineStr"/>
      <c r="D214" s="5" t="n">
        <v>2845920</v>
      </c>
      <c r="E214" s="5" t="n">
        <v>2541000</v>
      </c>
      <c r="F214" s="5" t="inlineStr"/>
      <c r="G214" s="5" t="inlineStr">
        <is>
          <t>APC</t>
        </is>
      </c>
      <c r="H214" s="5">
        <f>HYPERLINK("https://itrix.uz/product/1160", "🔗 Mahsulot sotib olish")</f>
        <v/>
      </c>
      <c r="I214" t="inlineStr">
        <is>
          <t>2-1160-891</t>
        </is>
      </c>
    </row>
    <row r="215" ht="30" customHeight="1">
      <c r="A215" s="4" t="inlineStr">
        <is>
          <t>Quvvat ta'minoti</t>
        </is>
      </c>
      <c r="B215" s="4" t="inlineStr">
        <is>
          <t>APC Easy-UPS BV1000I-GR uzluksiz quvvat manbai</t>
        </is>
      </c>
      <c r="C215" s="5" t="inlineStr"/>
      <c r="D215" s="5" t="n">
        <v>1496141</v>
      </c>
      <c r="E215" s="5" t="n">
        <v>1335840</v>
      </c>
      <c r="F215" s="5" t="inlineStr"/>
      <c r="G215" s="5" t="inlineStr">
        <is>
          <t>APC</t>
        </is>
      </c>
      <c r="H215" s="5">
        <f>HYPERLINK("https://itrix.uz/product/1164", "🔗 Mahsulot sotib olish")</f>
        <v/>
      </c>
      <c r="I215" t="inlineStr">
        <is>
          <t>2-1164-894</t>
        </is>
      </c>
    </row>
    <row r="216" ht="30" customHeight="1">
      <c r="A216" s="4" t="inlineStr">
        <is>
          <t>Quvvat ta'minoti</t>
        </is>
      </c>
      <c r="B216" s="4" t="inlineStr">
        <is>
          <t>APC Easy-UPS SR SRV1KI uzluksiz quvvat manbai</t>
        </is>
      </c>
      <c r="C216" s="5" t="inlineStr"/>
      <c r="D216" s="5" t="n">
        <v>5708102</v>
      </c>
      <c r="E216" s="5" t="n">
        <v>5096520</v>
      </c>
      <c r="F216" s="5" t="inlineStr"/>
      <c r="G216" s="5" t="inlineStr">
        <is>
          <t>APC</t>
        </is>
      </c>
      <c r="H216" s="5">
        <f>HYPERLINK("https://itrix.uz/product/1166", "🔗 Mahsulot sotib olish")</f>
        <v/>
      </c>
      <c r="I216" t="inlineStr">
        <is>
          <t>2-1166-896</t>
        </is>
      </c>
    </row>
    <row r="217" ht="30" customHeight="1">
      <c r="A217" s="4" t="inlineStr">
        <is>
          <t>Quvvat ta'minoti</t>
        </is>
      </c>
      <c r="B217" s="4" t="inlineStr">
        <is>
          <t>APC BX750MI-GR uzluksiz quvvat manbai</t>
        </is>
      </c>
      <c r="C217" s="5" t="inlineStr"/>
      <c r="D217" s="5" t="n">
        <v>2211686</v>
      </c>
      <c r="E217" s="5" t="n">
        <v>1974720</v>
      </c>
      <c r="F217" s="5" t="inlineStr"/>
      <c r="G217" s="5" t="inlineStr">
        <is>
          <t>APC</t>
        </is>
      </c>
      <c r="H217" s="5">
        <f>HYPERLINK("https://itrix.uz/product/1161", "🔗 Mahsulot sotib olish")</f>
        <v/>
      </c>
      <c r="I217" t="inlineStr">
        <is>
          <t>2-1161-892</t>
        </is>
      </c>
    </row>
    <row r="218" ht="30" customHeight="1">
      <c r="A218" s="4" t="inlineStr">
        <is>
          <t>Aksessuarlar</t>
        </is>
      </c>
      <c r="B218" s="4" t="inlineStr">
        <is>
          <t>Bluetooth Mono-quloqchin Jabra BlueParrott M300-XT</t>
        </is>
      </c>
      <c r="C218" s="5" t="inlineStr"/>
      <c r="D218" s="5" t="n">
        <v>1300992</v>
      </c>
      <c r="E218" s="5" t="n">
        <v>1161600</v>
      </c>
      <c r="F218" s="5" t="inlineStr"/>
      <c r="G218" s="5" t="inlineStr">
        <is>
          <t>JABRA</t>
        </is>
      </c>
      <c r="H218" s="5">
        <f>HYPERLINK("https://itrix.uz/product/1172", "🔗 Mahsulot sotib olish")</f>
        <v/>
      </c>
      <c r="I218" t="inlineStr">
        <is>
          <t>2-1172-902</t>
        </is>
      </c>
    </row>
    <row r="219" ht="30" customHeight="1">
      <c r="A219" s="4" t="inlineStr">
        <is>
          <t>Aksessuarlar</t>
        </is>
      </c>
      <c r="B219" s="4" t="inlineStr">
        <is>
          <t>Jabra Evolve2 50 USB C/A UC Stereo garniturasi</t>
        </is>
      </c>
      <c r="C219" s="5" t="inlineStr"/>
      <c r="D219" s="5" t="n">
        <v>2910970</v>
      </c>
      <c r="E219" s="5" t="n">
        <v>2599080</v>
      </c>
      <c r="F219" s="5" t="inlineStr"/>
      <c r="G219" s="5" t="inlineStr">
        <is>
          <t>JABRA</t>
        </is>
      </c>
      <c r="H219" s="5">
        <f>HYPERLINK("https://itrix.uz/product/1190", "🔗 Mahsulot sotib olish")</f>
        <v/>
      </c>
      <c r="I219" t="inlineStr">
        <is>
          <t>2-1190-920</t>
        </is>
      </c>
    </row>
    <row r="220" ht="30" customHeight="1">
      <c r="A220" s="4" t="inlineStr">
        <is>
          <t>Aksessuarlar</t>
        </is>
      </c>
      <c r="B220" s="4" t="inlineStr">
        <is>
          <t>Cisco CP-HS-W-522-USB simli garniturasi</t>
        </is>
      </c>
      <c r="C220" s="5" t="inlineStr"/>
      <c r="D220" s="5" t="n">
        <v>5447904</v>
      </c>
      <c r="E220" s="5" t="n">
        <v>4864200</v>
      </c>
      <c r="F220" s="5" t="inlineStr"/>
      <c r="G220" s="5" t="inlineStr">
        <is>
          <t>Cisco</t>
        </is>
      </c>
      <c r="H220" s="5">
        <f>HYPERLINK("https://itrix.uz/product/1180", "🔗 Mahsulot sotib olish")</f>
        <v/>
      </c>
      <c r="I220" t="inlineStr">
        <is>
          <t>2-1180-910</t>
        </is>
      </c>
    </row>
    <row r="221" ht="30" customHeight="1">
      <c r="A221" s="4" t="inlineStr">
        <is>
          <t>Aksessuarlar</t>
        </is>
      </c>
      <c r="B221" s="4" t="inlineStr">
        <is>
          <t>Jabra BIZ 1500 Duo garniturasi</t>
        </is>
      </c>
      <c r="C221" s="5" t="inlineStr"/>
      <c r="D221" s="5" t="n">
        <v>1349779</v>
      </c>
      <c r="E221" s="5" t="n">
        <v>1205160</v>
      </c>
      <c r="F221" s="5" t="inlineStr"/>
      <c r="G221" s="5" t="inlineStr">
        <is>
          <t>JABRA</t>
        </is>
      </c>
      <c r="H221" s="5">
        <f>HYPERLINK("https://itrix.uz/product/1181", "🔗 Mahsulot sotib olish")</f>
        <v/>
      </c>
      <c r="I221" t="inlineStr">
        <is>
          <t>2-1181-911</t>
        </is>
      </c>
    </row>
    <row r="222" ht="30" customHeight="1">
      <c r="A222" s="4" t="inlineStr">
        <is>
          <t>Aksessuarlar</t>
        </is>
      </c>
      <c r="B222" s="4" t="inlineStr">
        <is>
          <t>Jabra Evolve2 Buds USB-C MS simsiz quloqchinlari</t>
        </is>
      </c>
      <c r="C222" s="5" t="inlineStr"/>
      <c r="D222" s="5" t="n">
        <v>5529216</v>
      </c>
      <c r="E222" s="5" t="n">
        <v>4936800</v>
      </c>
      <c r="F222" s="5" t="inlineStr"/>
      <c r="G222" s="5" t="inlineStr">
        <is>
          <t>JABRA</t>
        </is>
      </c>
      <c r="H222" s="5">
        <f>HYPERLINK("https://itrix.uz/product/1197", "🔗 Mahsulot sotib olish")</f>
        <v/>
      </c>
      <c r="I222" t="inlineStr">
        <is>
          <t>2-1197-927</t>
        </is>
      </c>
    </row>
    <row r="223" ht="30" customHeight="1">
      <c r="A223" s="4" t="inlineStr">
        <is>
          <t>Aksessuarlar</t>
        </is>
      </c>
      <c r="B223" s="4" t="inlineStr">
        <is>
          <t>Jabra Evolve2 65 Link380a MS Mono Black garniturasi</t>
        </is>
      </c>
      <c r="C223" s="5" t="inlineStr"/>
      <c r="D223" s="5" t="n">
        <v>3577728</v>
      </c>
      <c r="E223" s="5" t="n">
        <v>3194400</v>
      </c>
      <c r="F223" s="5" t="inlineStr"/>
      <c r="G223" s="5" t="inlineStr">
        <is>
          <t>JABRA</t>
        </is>
      </c>
      <c r="H223" s="5">
        <f>HYPERLINK("https://itrix.uz/product/1194", "🔗 Mahsulot sotib olish")</f>
        <v/>
      </c>
      <c r="I223" t="inlineStr">
        <is>
          <t>2-1194-924</t>
        </is>
      </c>
    </row>
    <row r="224" ht="30" customHeight="1">
      <c r="A224" s="4" t="inlineStr">
        <is>
          <t>Aksessuarlar</t>
        </is>
      </c>
      <c r="B224" s="4" t="inlineStr">
        <is>
          <t>Jabra Evolve2 75 Link380a MS Stereo Black garniturasi</t>
        </is>
      </c>
      <c r="C224" s="5" t="inlineStr"/>
      <c r="D224" s="5" t="n">
        <v>5691840</v>
      </c>
      <c r="E224" s="5" t="n">
        <v>5082000</v>
      </c>
      <c r="F224" s="5" t="inlineStr"/>
      <c r="G224" s="5" t="inlineStr">
        <is>
          <t>JABRA</t>
        </is>
      </c>
      <c r="H224" s="5">
        <f>HYPERLINK("https://itrix.uz/product/1196", "🔗 Mahsulot sotib olish")</f>
        <v/>
      </c>
      <c r="I224" t="inlineStr">
        <is>
          <t>2-1196-926</t>
        </is>
      </c>
    </row>
    <row r="225" ht="30" customHeight="1">
      <c r="A225" s="4" t="inlineStr">
        <is>
          <t>Aksessuarlar</t>
        </is>
      </c>
      <c r="B225" s="4" t="inlineStr">
        <is>
          <t>Jabra Evolve 20 Mono MS garniturasi</t>
        </is>
      </c>
      <c r="C225" s="5" t="inlineStr"/>
      <c r="D225" s="5" t="n">
        <v>780595</v>
      </c>
      <c r="E225" s="5" t="n">
        <v>696960</v>
      </c>
      <c r="F225" s="5" t="inlineStr"/>
      <c r="G225" s="5" t="inlineStr">
        <is>
          <t>JABRA</t>
        </is>
      </c>
      <c r="H225" s="5">
        <f>HYPERLINK("https://itrix.uz/product/1184", "🔗 Mahsulot sotib olish")</f>
        <v/>
      </c>
      <c r="I225" t="inlineStr">
        <is>
          <t>2-1184-914</t>
        </is>
      </c>
    </row>
    <row r="226" ht="30" customHeight="1">
      <c r="A226" s="4" t="inlineStr">
        <is>
          <t>Aksessuarlar</t>
        </is>
      </c>
      <c r="B226" s="4" t="inlineStr">
        <is>
          <t>Jabra EVOLVE 20 MS Stereo USB-C garniturasi</t>
        </is>
      </c>
      <c r="C226" s="5" t="inlineStr"/>
      <c r="D226" s="5" t="n">
        <v>894432</v>
      </c>
      <c r="E226" s="5" t="n">
        <v>798600</v>
      </c>
      <c r="F226" s="5" t="inlineStr"/>
      <c r="G226" s="5" t="inlineStr">
        <is>
          <t>JABRA</t>
        </is>
      </c>
      <c r="H226" s="5">
        <f>HYPERLINK("https://itrix.uz/product/1186", "🔗 Mahsulot sotib olish")</f>
        <v/>
      </c>
      <c r="I226" t="inlineStr">
        <is>
          <t>2-1186-916</t>
        </is>
      </c>
    </row>
    <row r="227" ht="30" customHeight="1">
      <c r="A227" s="4" t="inlineStr">
        <is>
          <t>Quvvat ta'minoti</t>
        </is>
      </c>
      <c r="B227" s="4" t="inlineStr">
        <is>
          <t>APC Easy-UPS BV650I-GR uzluksiz quvvat manbai</t>
        </is>
      </c>
      <c r="C227" s="5" t="inlineStr"/>
      <c r="D227" s="5" t="n">
        <v>845645</v>
      </c>
      <c r="E227" s="5" t="n">
        <v>755040</v>
      </c>
      <c r="F227" s="5" t="inlineStr"/>
      <c r="G227" s="5" t="inlineStr">
        <is>
          <t>APC</t>
        </is>
      </c>
      <c r="H227" s="5">
        <f>HYPERLINK("https://itrix.uz/product/1165", "🔗 Mahsulot sotib olish")</f>
        <v/>
      </c>
      <c r="I227" t="inlineStr">
        <is>
          <t>2-1165-895</t>
        </is>
      </c>
    </row>
    <row r="228" ht="30" customHeight="1">
      <c r="A228" s="4" t="inlineStr">
        <is>
          <t>Aksessuarlar</t>
        </is>
      </c>
      <c r="B228" s="4" t="inlineStr">
        <is>
          <t>Jabra Evolve 20 USB C/A MS Stereo  garniturasi</t>
        </is>
      </c>
      <c r="C228" s="5" t="inlineStr"/>
      <c r="D228" s="5" t="n">
        <v>943219</v>
      </c>
      <c r="E228" s="5" t="n">
        <v>842160</v>
      </c>
      <c r="F228" s="5" t="inlineStr"/>
      <c r="G228" s="5" t="inlineStr">
        <is>
          <t>JABRA</t>
        </is>
      </c>
      <c r="H228" s="5">
        <f>HYPERLINK("https://itrix.uz/product/1187", "🔗 Mahsulot sotib olish")</f>
        <v/>
      </c>
      <c r="I228" t="inlineStr">
        <is>
          <t>2-1187-917</t>
        </is>
      </c>
    </row>
    <row r="229" ht="30" customHeight="1">
      <c r="A229" s="4" t="inlineStr">
        <is>
          <t>Aksessuarlar</t>
        </is>
      </c>
      <c r="B229" s="4" t="inlineStr">
        <is>
          <t>Jabra Evolve 20 USB C/A UC Stereo naushniklari</t>
        </is>
      </c>
      <c r="C229" s="5" t="inlineStr"/>
      <c r="D229" s="5" t="n">
        <v>943219</v>
      </c>
      <c r="E229" s="5" t="n">
        <v>842160</v>
      </c>
      <c r="F229" s="5" t="inlineStr"/>
      <c r="G229" s="5" t="inlineStr">
        <is>
          <t>JABRA</t>
        </is>
      </c>
      <c r="H229" s="5">
        <f>HYPERLINK("https://itrix.uz/product/1188", "🔗 Mahsulot sotib olish")</f>
        <v/>
      </c>
      <c r="I229" t="inlineStr">
        <is>
          <t>2-1188-918</t>
        </is>
      </c>
    </row>
    <row r="230" ht="30" customHeight="1">
      <c r="A230" s="4" t="inlineStr">
        <is>
          <t>Aksessuarlar</t>
        </is>
      </c>
      <c r="B230" s="4" t="inlineStr">
        <is>
          <t>Jabra Evolve2 55 USB-A UC Stereo garniturasi</t>
        </is>
      </c>
      <c r="C230" s="5" t="inlineStr"/>
      <c r="D230" s="5" t="n">
        <v>3724090</v>
      </c>
      <c r="E230" s="5" t="n">
        <v>3325080</v>
      </c>
      <c r="F230" s="5" t="inlineStr"/>
      <c r="G230" s="5" t="inlineStr">
        <is>
          <t>JABRA</t>
        </is>
      </c>
      <c r="H230" s="5">
        <f>HYPERLINK("https://itrix.uz/product/1191", "🔗 Mahsulot sotib olish")</f>
        <v/>
      </c>
      <c r="I230" t="inlineStr">
        <is>
          <t>2-1191-921</t>
        </is>
      </c>
    </row>
    <row r="231" ht="30" customHeight="1">
      <c r="A231" s="4" t="inlineStr">
        <is>
          <t>Aksessuarlar</t>
        </is>
      </c>
      <c r="B231" s="4" t="inlineStr">
        <is>
          <t>Jabra Evolve2 65 Flex Link380a MS Stereo garniturasi</t>
        </is>
      </c>
      <c r="C231" s="5" t="inlineStr"/>
      <c r="D231" s="5" t="n">
        <v>4862458</v>
      </c>
      <c r="E231" s="5" t="n">
        <v>4341480</v>
      </c>
      <c r="F231" s="5" t="inlineStr"/>
      <c r="G231" s="5" t="inlineStr">
        <is>
          <t>JABRA</t>
        </is>
      </c>
      <c r="H231" s="5">
        <f>HYPERLINK("https://itrix.uz/product/1193", "🔗 Mahsulot sotib olish")</f>
        <v/>
      </c>
      <c r="I231" t="inlineStr">
        <is>
          <t>2-1193-923</t>
        </is>
      </c>
    </row>
    <row r="232" ht="30" customHeight="1">
      <c r="A232" s="4" t="inlineStr">
        <is>
          <t>Aksessuarlar</t>
        </is>
      </c>
      <c r="B232" s="4" t="inlineStr">
        <is>
          <t>Jabra Evolve2 55 Link380c MS Stereo garniturasi</t>
        </is>
      </c>
      <c r="C232" s="5" t="inlineStr"/>
      <c r="D232" s="5" t="n">
        <v>3724090</v>
      </c>
      <c r="E232" s="5" t="n">
        <v>3325080</v>
      </c>
      <c r="F232" s="5" t="inlineStr"/>
      <c r="G232" s="5" t="inlineStr">
        <is>
          <t>JABRA</t>
        </is>
      </c>
      <c r="H232" s="5">
        <f>HYPERLINK("https://itrix.uz/product/1192", "🔗 Mahsulot sotib olish")</f>
        <v/>
      </c>
      <c r="I232" t="inlineStr">
        <is>
          <t>2-1192-922</t>
        </is>
      </c>
    </row>
    <row r="233" ht="30" customHeight="1">
      <c r="A233" s="4" t="inlineStr">
        <is>
          <t>Aksessuarlar</t>
        </is>
      </c>
      <c r="B233" s="4" t="inlineStr">
        <is>
          <t xml:space="preserve">Jabra Evolve2 65 Link380a MS Stereo Black garniturasi </t>
        </is>
      </c>
      <c r="C233" s="5" t="inlineStr"/>
      <c r="D233" s="5" t="n">
        <v>4114387</v>
      </c>
      <c r="E233" s="5" t="n">
        <v>3673560</v>
      </c>
      <c r="F233" s="5" t="inlineStr"/>
      <c r="G233" s="5" t="inlineStr">
        <is>
          <t>JABRA</t>
        </is>
      </c>
      <c r="H233" s="5">
        <f>HYPERLINK("https://itrix.uz/product/1195", "🔗 Mahsulot sotib olish")</f>
        <v/>
      </c>
      <c r="I233" t="inlineStr">
        <is>
          <t>2-1195-925</t>
        </is>
      </c>
    </row>
    <row r="234" ht="30" customHeight="1">
      <c r="A234" s="4" t="inlineStr">
        <is>
          <t>Aksessuarlar</t>
        </is>
      </c>
      <c r="B234" s="4" t="inlineStr">
        <is>
          <t>Jabra Evolve2 40 SE USB-A UC Stereo garniturasi</t>
        </is>
      </c>
      <c r="C234" s="5" t="inlineStr"/>
      <c r="D234" s="5" t="n">
        <v>2341786</v>
      </c>
      <c r="E234" s="5" t="n">
        <v>2090880</v>
      </c>
      <c r="F234" s="5" t="inlineStr"/>
      <c r="G234" s="5" t="inlineStr">
        <is>
          <t>JABRA</t>
        </is>
      </c>
      <c r="H234" s="5">
        <f>HYPERLINK("https://itrix.uz/product/1189", "🔗 Mahsulot sotib olish")</f>
        <v/>
      </c>
      <c r="I234" t="inlineStr">
        <is>
          <t>2-1189-919</t>
        </is>
      </c>
    </row>
    <row r="235" ht="30" customHeight="1">
      <c r="A235" s="4" t="inlineStr">
        <is>
          <t>Aksessuarlar</t>
        </is>
      </c>
      <c r="B235" s="4" t="inlineStr">
        <is>
          <t>Ubiquiti UACC-Rack-Panel-Blank-1U rack uchun yopuvchi panel</t>
        </is>
      </c>
      <c r="C235" s="5" t="inlineStr"/>
      <c r="D235" s="5" t="n">
        <v>478792</v>
      </c>
      <c r="E235" s="5" t="n">
        <v>427493</v>
      </c>
      <c r="F235" s="5" t="n">
        <v>394702</v>
      </c>
      <c r="G235" s="5" t="inlineStr">
        <is>
          <t>UniFi UBIQUITI</t>
        </is>
      </c>
      <c r="H235" s="5">
        <f>HYPERLINK("https://itrix.uz/product/1390", "🔗 Mahsulot sotib olish")</f>
        <v/>
      </c>
      <c r="I235" t="inlineStr">
        <is>
          <t>2-1390-1090</t>
        </is>
      </c>
    </row>
    <row r="236" ht="30" customHeight="1">
      <c r="A236" s="4" t="inlineStr">
        <is>
          <t>Aksessuarlar</t>
        </is>
      </c>
      <c r="B236" s="4" t="inlineStr">
        <is>
          <t>Jabra PanaCast USB Cable USB 3.0 2 m USB-C dan USB-A ga ulash kabeli</t>
        </is>
      </c>
      <c r="C236" s="5" t="inlineStr"/>
      <c r="D236" s="5" t="n">
        <v>422822</v>
      </c>
      <c r="E236" s="5" t="n">
        <v>377520</v>
      </c>
      <c r="F236" s="5" t="inlineStr"/>
      <c r="G236" s="5" t="inlineStr">
        <is>
          <t>JABRA</t>
        </is>
      </c>
      <c r="H236" s="5">
        <f>HYPERLINK("https://itrix.uz/product/1205", "🔗 Mahsulot sotib olish")</f>
        <v/>
      </c>
      <c r="I236" t="inlineStr">
        <is>
          <t>2-1205-935</t>
        </is>
      </c>
    </row>
    <row r="237" ht="30" customHeight="1">
      <c r="A237" s="4" t="inlineStr">
        <is>
          <t>Quvvat ta'minoti</t>
        </is>
      </c>
      <c r="B237" s="4" t="inlineStr">
        <is>
          <t>APC Back-UPS BX950MI-GR uzluksiz quvvat manbai</t>
        </is>
      </c>
      <c r="C237" s="5" t="inlineStr"/>
      <c r="D237" s="5" t="n">
        <v>2829658</v>
      </c>
      <c r="E237" s="5" t="n">
        <v>2526480</v>
      </c>
      <c r="F237" s="5" t="inlineStr"/>
      <c r="G237" s="5" t="inlineStr">
        <is>
          <t>APC</t>
        </is>
      </c>
      <c r="H237" s="5">
        <f>HYPERLINK("https://itrix.uz/product/1163", "🔗 Mahsulot sotib olish")</f>
        <v/>
      </c>
      <c r="I237" t="inlineStr">
        <is>
          <t>2-1163-942</t>
        </is>
      </c>
    </row>
    <row r="238" ht="30" customHeight="1">
      <c r="A238" s="4" t="inlineStr">
        <is>
          <t>Aksessuarlar</t>
        </is>
      </c>
      <c r="B238" s="4" t="inlineStr">
        <is>
          <t>APC Strip PZ42IZ-GR tarmoq filtri</t>
        </is>
      </c>
      <c r="C238" s="5" t="inlineStr"/>
      <c r="D238" s="5" t="n">
        <v>536659</v>
      </c>
      <c r="E238" s="5" t="n">
        <v>479160</v>
      </c>
      <c r="F238" s="5" t="inlineStr"/>
      <c r="G238" s="5" t="inlineStr">
        <is>
          <t>APC</t>
        </is>
      </c>
      <c r="H238" s="5">
        <f>HYPERLINK("https://itrix.uz/product/1171", "🔗 Mahsulot sotib olish")</f>
        <v/>
      </c>
      <c r="I238" t="inlineStr">
        <is>
          <t>2-1171-901</t>
        </is>
      </c>
    </row>
    <row r="239" ht="30" customHeight="1">
      <c r="A239" s="4" t="inlineStr">
        <is>
          <t>Aksessuarlar</t>
        </is>
      </c>
      <c r="B239" s="4" t="inlineStr">
        <is>
          <t>Jabra BIZ 2300 Duo garniturasi</t>
        </is>
      </c>
      <c r="C239" s="5" t="inlineStr"/>
      <c r="D239" s="5" t="n">
        <v>2114112</v>
      </c>
      <c r="E239" s="5" t="n">
        <v>1887600</v>
      </c>
      <c r="F239" s="5" t="inlineStr"/>
      <c r="G239" s="5" t="inlineStr">
        <is>
          <t>JABRA</t>
        </is>
      </c>
      <c r="H239" s="5">
        <f>HYPERLINK("https://itrix.uz/product/1182", "🔗 Mahsulot sotib olish")</f>
        <v/>
      </c>
      <c r="I239" t="inlineStr">
        <is>
          <t>2-1182-912</t>
        </is>
      </c>
    </row>
    <row r="240" ht="30" customHeight="1">
      <c r="A240" s="4" t="inlineStr">
        <is>
          <t>Aksessuarlar</t>
        </is>
      </c>
      <c r="B240" s="4" t="inlineStr">
        <is>
          <t>Jabra EVOLVE 10 Stereo garniturasi</t>
        </is>
      </c>
      <c r="C240" s="5" t="inlineStr"/>
      <c r="D240" s="5" t="n">
        <v>650496</v>
      </c>
      <c r="E240" s="5" t="n">
        <v>580800</v>
      </c>
      <c r="F240" s="5" t="inlineStr"/>
      <c r="G240" s="5" t="inlineStr">
        <is>
          <t>JABRA</t>
        </is>
      </c>
      <c r="H240" s="5">
        <f>HYPERLINK("https://itrix.uz/product/1183", "🔗 Mahsulot sotib olish")</f>
        <v/>
      </c>
      <c r="I240" t="inlineStr">
        <is>
          <t>2-1183-913</t>
        </is>
      </c>
    </row>
    <row r="241" ht="30" customHeight="1">
      <c r="A241" s="4" t="inlineStr">
        <is>
          <t>Aksessuarlar</t>
        </is>
      </c>
      <c r="B241" s="4" t="inlineStr">
        <is>
          <t>Jabra EVOLVE 20 MS Stereo garniturasi</t>
        </is>
      </c>
      <c r="C241" s="5" t="inlineStr"/>
      <c r="D241" s="5" t="n">
        <v>894432</v>
      </c>
      <c r="E241" s="5" t="n">
        <v>798600</v>
      </c>
      <c r="F241" s="5" t="inlineStr"/>
      <c r="G241" s="5" t="inlineStr">
        <is>
          <t>JABRA</t>
        </is>
      </c>
      <c r="H241" s="5">
        <f>HYPERLINK("https://itrix.uz/product/1185", "🔗 Mahsulot sotib olish")</f>
        <v/>
      </c>
      <c r="I241" t="inlineStr">
        <is>
          <t>2-1185-915</t>
        </is>
      </c>
    </row>
    <row r="242" ht="30" customHeight="1">
      <c r="A242" s="4" t="inlineStr">
        <is>
          <t>Aksessuarlar</t>
        </is>
      </c>
      <c r="B242" s="4" t="inlineStr">
        <is>
          <t>Jabra PanaCast Table Stand Stol usti o'rnatgichi</t>
        </is>
      </c>
      <c r="C242" s="5" t="inlineStr"/>
      <c r="D242" s="5" t="n">
        <v>1057056</v>
      </c>
      <c r="E242" s="5" t="n">
        <v>943800</v>
      </c>
      <c r="F242" s="5" t="inlineStr"/>
      <c r="G242" s="5" t="inlineStr">
        <is>
          <t>JABRA</t>
        </is>
      </c>
      <c r="H242" s="5">
        <f>HYPERLINK("https://itrix.uz/product/1203", "🔗 Mahsulot sotib olish")</f>
        <v/>
      </c>
      <c r="I242" t="inlineStr">
        <is>
          <t>2-1203-933</t>
        </is>
      </c>
    </row>
    <row r="243" ht="30" customHeight="1">
      <c r="A243" s="4" t="inlineStr">
        <is>
          <t>Aksessuarlar</t>
        </is>
      </c>
      <c r="B243" s="4" t="inlineStr">
        <is>
          <t>Jabra PanaCast USB Cable USB 2.0 5m USB-C dan USB-A ga ulash kabeli</t>
        </is>
      </c>
      <c r="C243" s="5" t="inlineStr"/>
      <c r="D243" s="5" t="n">
        <v>748070</v>
      </c>
      <c r="E243" s="5" t="n">
        <v>667920</v>
      </c>
      <c r="F243" s="5" t="inlineStr"/>
      <c r="G243" s="5" t="inlineStr">
        <is>
          <t>JABRA</t>
        </is>
      </c>
      <c r="H243" s="5">
        <f>HYPERLINK("https://itrix.uz/product/1204", "🔗 Mahsulot sotib olish")</f>
        <v/>
      </c>
      <c r="I243" t="inlineStr">
        <is>
          <t>2-1204-934</t>
        </is>
      </c>
    </row>
    <row r="244" ht="30" customHeight="1">
      <c r="A244" s="4" t="inlineStr">
        <is>
          <t>Tarkibiy qismlar</t>
        </is>
      </c>
      <c r="B244" s="4" t="inlineStr">
        <is>
          <t>Jabra PanaCast Wall Mount devor o‘rnatgichi</t>
        </is>
      </c>
      <c r="C244" s="5" t="inlineStr"/>
      <c r="D244" s="5" t="n">
        <v>748070</v>
      </c>
      <c r="E244" s="5" t="n">
        <v>667920</v>
      </c>
      <c r="F244" s="5" t="inlineStr"/>
      <c r="G244" s="5" t="inlineStr">
        <is>
          <t>JABRA</t>
        </is>
      </c>
      <c r="H244" s="5">
        <f>HYPERLINK("https://itrix.uz/product/1206", "🔗 Mahsulot sotib olish")</f>
        <v/>
      </c>
      <c r="I244" t="inlineStr">
        <is>
          <t>2-1206-936</t>
        </is>
      </c>
    </row>
    <row r="245" ht="30" customHeight="1">
      <c r="A245" s="4" t="inlineStr">
        <is>
          <t>Quvvat ta'minoti</t>
        </is>
      </c>
      <c r="B245" s="4" t="inlineStr">
        <is>
          <t>Grandstream POWER SUPPLY 5V-0.6A quvvat manbai</t>
        </is>
      </c>
      <c r="C245" s="5" t="inlineStr"/>
      <c r="D245" s="5" t="n">
        <v>113837</v>
      </c>
      <c r="E245" s="5" t="n">
        <v>101640</v>
      </c>
      <c r="F245" s="5" t="inlineStr"/>
      <c r="G245" s="5" t="inlineStr">
        <is>
          <t>Grandstream</t>
        </is>
      </c>
      <c r="H245" s="5">
        <f>HYPERLINK("https://itrix.uz/product/911", "🔗 Mahsulot sotib olish")</f>
        <v/>
      </c>
      <c r="I245" t="inlineStr">
        <is>
          <t>2-911-801</t>
        </is>
      </c>
    </row>
    <row r="246" ht="30" customHeight="1">
      <c r="A246" s="4" t="inlineStr">
        <is>
          <t>Aksessuarlar</t>
        </is>
      </c>
      <c r="B246" s="4" t="inlineStr">
        <is>
          <t>Jabra PanaCast 50 Screen Mount VESA ekran o‘rnatgichi</t>
        </is>
      </c>
      <c r="C246" s="5" t="inlineStr"/>
      <c r="D246" s="5" t="n">
        <v>1675027</v>
      </c>
      <c r="E246" s="5" t="n">
        <v>1495560</v>
      </c>
      <c r="F246" s="5" t="inlineStr"/>
      <c r="G246" s="5" t="inlineStr">
        <is>
          <t>JABRA</t>
        </is>
      </c>
      <c r="H246" s="5">
        <f>HYPERLINK("https://itrix.uz/product/1200", "🔗 Mahsulot sotib olish")</f>
        <v/>
      </c>
      <c r="I246" t="inlineStr">
        <is>
          <t>2-1200-930</t>
        </is>
      </c>
    </row>
    <row r="247" ht="30" customHeight="1">
      <c r="A247" s="4" t="inlineStr">
        <is>
          <t>Aksessuarlar</t>
        </is>
      </c>
      <c r="B247" s="4" t="inlineStr">
        <is>
          <t>Ubiquiti UACC-Rack-Panel-Brush-1U rack panel  (1U kabel boshqaruvi uchun cho‘tka paneli)</t>
        </is>
      </c>
      <c r="C247" s="5" t="inlineStr"/>
      <c r="D247" s="5" t="n">
        <v>781273</v>
      </c>
      <c r="E247" s="5" t="n">
        <v>697565</v>
      </c>
      <c r="F247" s="5" t="n">
        <v>643962</v>
      </c>
      <c r="G247" s="5" t="inlineStr">
        <is>
          <t>UniFi UBIQUITI</t>
        </is>
      </c>
      <c r="H247" s="5">
        <f>HYPERLINK("https://itrix.uz/product/1391", "🔗 Mahsulot sotib olish")</f>
        <v/>
      </c>
      <c r="I247" t="inlineStr">
        <is>
          <t>2-1391-1091</t>
        </is>
      </c>
    </row>
    <row r="248" ht="30" customHeight="1">
      <c r="A248" s="4" t="inlineStr">
        <is>
          <t>Aksessuarlar</t>
        </is>
      </c>
      <c r="B248" s="4" t="inlineStr">
        <is>
          <t>Jabra GN 1200 CC (88011-99) garnituralar uchun ulanish kabeli</t>
        </is>
      </c>
      <c r="C248" s="5" t="inlineStr"/>
      <c r="D248" s="5" t="n">
        <v>569184</v>
      </c>
      <c r="E248" s="5" t="n">
        <v>508200</v>
      </c>
      <c r="F248" s="5" t="inlineStr"/>
      <c r="G248" s="5" t="inlineStr">
        <is>
          <t>JABRA</t>
        </is>
      </c>
      <c r="H248" s="5">
        <f>HYPERLINK("https://itrix.uz/product/1235", "🔗 Mahsulot sotib olish")</f>
        <v/>
      </c>
      <c r="I248" t="inlineStr">
        <is>
          <t>2-1235-946</t>
        </is>
      </c>
    </row>
    <row r="249" ht="30" customHeight="1">
      <c r="A249" s="4" t="inlineStr">
        <is>
          <t>Tarkibiy qismlar</t>
        </is>
      </c>
      <c r="B249" s="4" t="inlineStr">
        <is>
          <t>Grandstream GRP_WM_A GRP260x seriyali telefonlar uchun devor kronshteyni</t>
        </is>
      </c>
      <c r="C249" s="5" t="inlineStr"/>
      <c r="D249" s="5" t="n">
        <v>97574</v>
      </c>
      <c r="E249" s="5" t="n">
        <v>87120</v>
      </c>
      <c r="F249" s="5" t="inlineStr"/>
      <c r="G249" s="5" t="inlineStr">
        <is>
          <t>Grandstream</t>
        </is>
      </c>
      <c r="H249" s="5">
        <f>HYPERLINK("https://itrix.uz/product/1237", "🔗 Mahsulot sotib olish")</f>
        <v/>
      </c>
      <c r="I249" t="inlineStr">
        <is>
          <t>2-1237-948</t>
        </is>
      </c>
    </row>
    <row r="250" ht="30" customHeight="1">
      <c r="A250" s="4" t="inlineStr">
        <is>
          <t>Tarkibiy qismlar</t>
        </is>
      </c>
      <c r="B250" s="4" t="inlineStr">
        <is>
          <t xml:space="preserve">Grandstream GRP_WM_S  GRP2612 va GRP2613 telefonlar uchun devorga o‘rnatish moslamasi </t>
        </is>
      </c>
      <c r="C250" s="5" t="inlineStr"/>
      <c r="D250" s="5" t="n">
        <v>97574</v>
      </c>
      <c r="E250" s="5" t="n">
        <v>87120</v>
      </c>
      <c r="F250" s="5" t="inlineStr"/>
      <c r="G250" s="5" t="inlineStr">
        <is>
          <t>Grandstream</t>
        </is>
      </c>
      <c r="H250" s="5">
        <f>HYPERLINK("https://itrix.uz/product/1238", "🔗 Mahsulot sotib olish")</f>
        <v/>
      </c>
      <c r="I250" t="inlineStr">
        <is>
          <t>2-1238-949</t>
        </is>
      </c>
    </row>
    <row r="251" ht="30" customHeight="1">
      <c r="A251" s="4" t="inlineStr">
        <is>
          <t>Aksessuarlar</t>
        </is>
      </c>
      <c r="B251" s="4" t="inlineStr">
        <is>
          <t>Cisco CS-MIC-TABLE-J= garniturasi — (Cisco konferensiya tizimlari uchun stol mikrofon)</t>
        </is>
      </c>
      <c r="C251" s="5" t="inlineStr"/>
      <c r="D251" s="5" t="n">
        <v>10963568</v>
      </c>
      <c r="E251" s="5" t="n">
        <v>9788900</v>
      </c>
      <c r="F251" s="5" t="inlineStr"/>
      <c r="G251" s="5" t="inlineStr">
        <is>
          <t>Cisco</t>
        </is>
      </c>
      <c r="H251" s="5">
        <f>HYPERLINK("https://itrix.uz/product/1258", "🔗 Mahsulot sotib olish")</f>
        <v/>
      </c>
      <c r="I251" t="inlineStr">
        <is>
          <t>2-1258-969</t>
        </is>
      </c>
    </row>
    <row r="252" ht="30" customHeight="1">
      <c r="A252" s="4" t="inlineStr">
        <is>
          <t>Tarkibiy qismlar</t>
        </is>
      </c>
      <c r="B252" s="4" t="inlineStr">
        <is>
          <t>Cisco CAB-USBC-4M-GR= kabeli</t>
        </is>
      </c>
      <c r="C252" s="5" t="inlineStr"/>
      <c r="D252" s="5" t="n">
        <v>1165472</v>
      </c>
      <c r="E252" s="5" t="n">
        <v>1040600</v>
      </c>
      <c r="F252" s="5" t="inlineStr"/>
      <c r="G252" s="5" t="inlineStr">
        <is>
          <t>Cisco</t>
        </is>
      </c>
      <c r="H252" s="5">
        <f>HYPERLINK("https://itrix.uz/product/1261", "🔗 Mahsulot sotib olish")</f>
        <v/>
      </c>
      <c r="I252" t="inlineStr">
        <is>
          <t>2-1261-972</t>
        </is>
      </c>
    </row>
    <row r="253" ht="30" customHeight="1">
      <c r="A253" s="4" t="inlineStr">
        <is>
          <t>Quvvat ta'minoti</t>
        </is>
      </c>
      <c r="B253" s="4" t="inlineStr">
        <is>
          <t>APC E3SUPS40KHB UPS (ichki batareyalar uchun)</t>
        </is>
      </c>
      <c r="C253" s="5" t="inlineStr"/>
      <c r="D253" s="5" t="n">
        <v>148557024</v>
      </c>
      <c r="E253" s="5" t="n">
        <v>132640200</v>
      </c>
      <c r="F253" s="5" t="inlineStr"/>
      <c r="G253" s="5" t="inlineStr">
        <is>
          <t>APC</t>
        </is>
      </c>
      <c r="H253" s="5">
        <f>HYPERLINK("https://itrix.uz/product/1262", "🔗 Mahsulot sotib olish")</f>
        <v/>
      </c>
      <c r="I253" t="inlineStr">
        <is>
          <t>2-1262-973</t>
        </is>
      </c>
    </row>
    <row r="254" ht="30" customHeight="1">
      <c r="A254" s="4" t="inlineStr">
        <is>
          <t>Aksessuarlar</t>
        </is>
      </c>
      <c r="B254" s="4" t="inlineStr">
        <is>
          <t>Jabra PanaCast 50 Wall Mount Black devor o‘rnatgichi</t>
        </is>
      </c>
      <c r="C254" s="5" t="inlineStr"/>
      <c r="D254" s="5" t="n">
        <v>764333</v>
      </c>
      <c r="E254" s="5" t="n">
        <v>682440</v>
      </c>
      <c r="F254" s="5" t="inlineStr"/>
      <c r="G254" s="5" t="inlineStr">
        <is>
          <t>JABRA</t>
        </is>
      </c>
      <c r="H254" s="5">
        <f>HYPERLINK("https://itrix.uz/product/1201", "🔗 Mahsulot sotib olish")</f>
        <v/>
      </c>
      <c r="I254" t="inlineStr">
        <is>
          <t>2-1201-931</t>
        </is>
      </c>
    </row>
    <row r="255" ht="30" customHeight="1">
      <c r="A255" s="4" t="inlineStr">
        <is>
          <t>Video kartalar</t>
        </is>
      </c>
      <c r="B255" s="4" t="inlineStr">
        <is>
          <t>NVIDIA RTX PRO 5000 Blackwell 48GB videokartasi</t>
        </is>
      </c>
      <c r="C255" s="5" t="inlineStr"/>
      <c r="D255" s="5" t="n">
        <v>125356000</v>
      </c>
      <c r="E255" s="5" t="n">
        <v>111925000</v>
      </c>
      <c r="F255" s="5" t="inlineStr"/>
      <c r="G255" s="5" t="inlineStr">
        <is>
          <t>Nvidia</t>
        </is>
      </c>
      <c r="H255" s="5">
        <f>HYPERLINK("https://itrix.uz/product/1442", "🔗 Mahsulot sotib olish")</f>
        <v/>
      </c>
      <c r="I255" t="inlineStr">
        <is>
          <t>2-1442-1142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D1A2EC"/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30" customWidth="1" min="1" max="1"/>
    <col width="100" customWidth="1" min="2" max="2"/>
    <col width="30" customWidth="1" min="3" max="3"/>
    <col width="20" customWidth="1" min="4" max="4"/>
    <col width="20" customWidth="1" min="5" max="5"/>
    <col width="20" customWidth="1" min="6" max="6"/>
    <col width="25" customWidth="1" min="7" max="7"/>
    <col width="20" customWidth="1" min="8" max="8"/>
  </cols>
  <sheetData>
    <row r="1" ht="30" customHeight="1">
      <c r="A1" s="1" t="inlineStr">
        <is>
          <t>Kategoriya</t>
        </is>
      </c>
      <c r="B1" s="1" t="inlineStr">
        <is>
          <t>Mahsulot nomi</t>
        </is>
      </c>
      <c r="C1" s="2" t="inlineStr">
        <is>
          <t>Kafolat</t>
        </is>
      </c>
      <c r="D1" s="2" t="inlineStr">
        <is>
          <t>QQS bilan narxi</t>
        </is>
      </c>
      <c r="E1" s="2" t="inlineStr">
        <is>
          <t>QQSsiz narxi</t>
        </is>
      </c>
      <c r="F1" s="2" t="inlineStr">
        <is>
          <t>5 dona dan</t>
        </is>
      </c>
      <c r="G1" s="2" t="inlineStr">
        <is>
          <t>Brend</t>
        </is>
      </c>
      <c r="H1" s="2" t="inlineStr">
        <is>
          <t>Saytda</t>
        </is>
      </c>
      <c r="I1" s="3" t="inlineStr">
        <is>
          <t>SKU</t>
        </is>
      </c>
    </row>
    <row r="2" ht="30" customHeight="1">
      <c r="A2" s="4" t="inlineStr">
        <is>
          <t>Switchlar</t>
        </is>
      </c>
      <c r="B2" s="4" t="inlineStr">
        <is>
          <t xml:space="preserve"> 2+ darajali boshqariladigan kommutator SNR-S5110G-48TX</t>
        </is>
      </c>
      <c r="C2" s="5" t="inlineStr"/>
      <c r="D2" s="5" t="n">
        <v>5732496</v>
      </c>
      <c r="E2" s="5" t="n">
        <v>5118300</v>
      </c>
      <c r="F2" s="5" t="inlineStr"/>
      <c r="G2" s="5" t="inlineStr">
        <is>
          <t>SNR</t>
        </is>
      </c>
      <c r="H2" s="5">
        <f>HYPERLINK("https://itrix.uz/product/447", "🔗 Mahsulot sotib olish")</f>
        <v/>
      </c>
      <c r="I2" t="inlineStr">
        <is>
          <t>4-447-431</t>
        </is>
      </c>
    </row>
    <row r="3" ht="30" customHeight="1">
      <c r="A3" s="4" t="inlineStr">
        <is>
          <t>Switchlar</t>
        </is>
      </c>
      <c r="B3" s="4" t="inlineStr">
        <is>
          <t>HPE Aruba IOn 1930 JL684B 24G 4SFP+ PoE 370W kommutatori</t>
        </is>
      </c>
      <c r="C3" s="5" t="inlineStr"/>
      <c r="D3" s="5" t="n">
        <v>10367280</v>
      </c>
      <c r="E3" s="5" t="n">
        <v>9256500</v>
      </c>
      <c r="F3" s="5" t="inlineStr"/>
      <c r="G3" s="5" t="inlineStr">
        <is>
          <t>HPE</t>
        </is>
      </c>
      <c r="H3" s="5">
        <f>HYPERLINK("https://itrix.uz/product/172", "🔗 Mahsulot sotib olish")</f>
        <v/>
      </c>
      <c r="I3" t="inlineStr">
        <is>
          <t>4-172-174</t>
        </is>
      </c>
    </row>
    <row r="4" ht="30" customHeight="1">
      <c r="A4" s="4" t="inlineStr">
        <is>
          <t>Switchlar</t>
        </is>
      </c>
      <c r="B4" s="4" t="inlineStr">
        <is>
          <t>Grandstream GWN7703 kommutatori</t>
        </is>
      </c>
      <c r="C4" s="5" t="inlineStr"/>
      <c r="D4" s="5" t="n">
        <v>1447354</v>
      </c>
      <c r="E4" s="5" t="n">
        <v>1292280</v>
      </c>
      <c r="F4" s="5" t="inlineStr"/>
      <c r="G4" s="5" t="inlineStr">
        <is>
          <t>Grandstream</t>
        </is>
      </c>
      <c r="H4" s="5">
        <f>HYPERLINK("https://itrix.uz/product/963", "🔗 Mahsulot sotib olish")</f>
        <v/>
      </c>
      <c r="I4" t="inlineStr">
        <is>
          <t>4-963-852</t>
        </is>
      </c>
    </row>
    <row r="5" ht="30" customHeight="1">
      <c r="A5" s="4" t="inlineStr">
        <is>
          <t>Kopar patch kordlar</t>
        </is>
      </c>
      <c r="B5" s="4" t="inlineStr">
        <is>
          <t>Patch-kabel Cat 5e, FTP, RJ45, 26AWG, 7/0.16 Cu, 2.00 m, LSZH, Kulrang</t>
        </is>
      </c>
      <c r="C5" s="5" t="inlineStr"/>
      <c r="D5" s="5" t="n">
        <v>135520</v>
      </c>
      <c r="E5" s="5" t="n">
        <v>121000</v>
      </c>
      <c r="F5" s="5" t="inlineStr"/>
      <c r="G5" s="5" t="inlineStr">
        <is>
          <t>Intel</t>
        </is>
      </c>
      <c r="H5" s="5">
        <f>HYPERLINK("https://itrix.uz/product/257", "🔗 Mahsulot sotib olish")</f>
        <v/>
      </c>
      <c r="I5" t="inlineStr">
        <is>
          <t>4-257-259</t>
        </is>
      </c>
    </row>
    <row r="6" ht="30" customHeight="1">
      <c r="A6" s="4" t="inlineStr">
        <is>
          <t>Switchlar</t>
        </is>
      </c>
      <c r="B6" s="4" t="inlineStr">
        <is>
          <t>HPE Aruba IOn 1960 JL808A 48G 2XGT 2SFP+ kommutatori</t>
        </is>
      </c>
      <c r="C6" s="5" t="inlineStr"/>
      <c r="D6" s="5" t="n">
        <v>17644704</v>
      </c>
      <c r="E6" s="5" t="n">
        <v>15754200</v>
      </c>
      <c r="F6" s="5" t="inlineStr"/>
      <c r="G6" s="5" t="inlineStr">
        <is>
          <t>HPE</t>
        </is>
      </c>
      <c r="H6" s="5">
        <f>HYPERLINK("https://itrix.uz/product/168", "🔗 Mahsulot sotib olish")</f>
        <v/>
      </c>
      <c r="I6" t="inlineStr">
        <is>
          <t>4-168-170</t>
        </is>
      </c>
    </row>
    <row r="7" ht="30" customHeight="1">
      <c r="A7" s="4" t="inlineStr">
        <is>
          <t>Kopar patch kordlar</t>
        </is>
      </c>
      <c r="B7" s="4" t="inlineStr">
        <is>
          <t>Patch-kabel Cat 5e, FTP, RJ45, 26AWG, 7/0.16 Cu, 3.00 m, LSZH, kulrang</t>
        </is>
      </c>
      <c r="C7" s="5" t="inlineStr"/>
      <c r="D7" s="5" t="n">
        <v>135520</v>
      </c>
      <c r="E7" s="5" t="n">
        <v>121000</v>
      </c>
      <c r="F7" s="5" t="inlineStr"/>
      <c r="G7" s="5" t="inlineStr">
        <is>
          <t>Intel</t>
        </is>
      </c>
      <c r="H7" s="5">
        <f>HYPERLINK("https://itrix.uz/product/258", "🔗 Mahsulot sotib olish")</f>
        <v/>
      </c>
      <c r="I7" t="inlineStr">
        <is>
          <t>4-258-375</t>
        </is>
      </c>
    </row>
    <row r="8" ht="30" customHeight="1">
      <c r="A8" s="4" t="inlineStr">
        <is>
          <t>Kopar patch kordlar</t>
        </is>
      </c>
      <c r="B8" s="4" t="inlineStr">
        <is>
          <t xml:space="preserve"> Patch-kabel Cat 6, FTP, RJ45, 26AWG, 7/0.16 Cu, 5.00 m, LSZH, kulrang</t>
        </is>
      </c>
      <c r="C8" s="5" t="inlineStr"/>
      <c r="D8" s="5" t="n">
        <v>135520</v>
      </c>
      <c r="E8" s="5" t="n">
        <v>121000</v>
      </c>
      <c r="F8" s="5" t="inlineStr"/>
      <c r="G8" s="5" t="inlineStr">
        <is>
          <t>Intel</t>
        </is>
      </c>
      <c r="H8" s="5">
        <f>HYPERLINK("https://itrix.uz/product/263", "🔗 Mahsulot sotib olish")</f>
        <v/>
      </c>
      <c r="I8" t="inlineStr">
        <is>
          <t>4-263-264</t>
        </is>
      </c>
    </row>
    <row r="9" ht="30" customHeight="1">
      <c r="A9" s="4" t="inlineStr">
        <is>
          <t>Tarmoq qurilmalari</t>
        </is>
      </c>
      <c r="B9" s="4" t="inlineStr">
        <is>
          <t>Ubiquiti UACC-DAC-SFP10-3M tarmoq kabeli</t>
        </is>
      </c>
      <c r="C9" s="5" t="inlineStr"/>
      <c r="D9" s="5" t="n">
        <v>428514</v>
      </c>
      <c r="E9" s="5" t="n">
        <v>382602</v>
      </c>
      <c r="F9" s="5" t="n">
        <v>353078</v>
      </c>
      <c r="G9" s="5" t="inlineStr">
        <is>
          <t>UniFi UBIQUITI</t>
        </is>
      </c>
      <c r="H9" s="5">
        <f>HYPERLINK("https://itrix.uz/product/1381", "🔗 Mahsulot sotib olish")</f>
        <v/>
      </c>
      <c r="I9" t="inlineStr">
        <is>
          <t>4-1381-1081</t>
        </is>
      </c>
    </row>
    <row r="10" ht="30" customHeight="1">
      <c r="A10" s="4" t="inlineStr">
        <is>
          <t>Tarmoqqa biriktirilgan xotira (NAS) va ma'lumotlarni saqlash tizimlari (DSS)</t>
        </is>
      </c>
      <c r="B10" s="4" t="inlineStr">
        <is>
          <t xml:space="preserve"> Tarmoqli saqlash qurilmasi (NAS) Synology DS1522+</t>
        </is>
      </c>
      <c r="C10" s="5" t="inlineStr"/>
      <c r="D10" s="5" t="n">
        <v>13579104</v>
      </c>
      <c r="E10" s="5" t="n">
        <v>12124200</v>
      </c>
      <c r="F10" s="5" t="inlineStr"/>
      <c r="G10" s="5" t="inlineStr">
        <is>
          <t>Synology</t>
        </is>
      </c>
      <c r="H10" s="5">
        <f>HYPERLINK("https://itrix.uz/product/267", "🔗 Mahsulot sotib olish")</f>
        <v/>
      </c>
      <c r="I10" t="inlineStr">
        <is>
          <t>4-267-269</t>
        </is>
      </c>
    </row>
    <row r="11" ht="30" customHeight="1">
      <c r="A11" s="4" t="inlineStr">
        <is>
          <t>Switchlar</t>
        </is>
      </c>
      <c r="B11" s="4" t="inlineStr">
        <is>
          <t>Boshqariladigan kommutator Grandsteam GWN7710R</t>
        </is>
      </c>
      <c r="C11" s="5" t="inlineStr"/>
      <c r="D11" s="5" t="n">
        <v>1918963</v>
      </c>
      <c r="E11" s="5" t="n">
        <v>1713360</v>
      </c>
      <c r="F11" s="5" t="inlineStr"/>
      <c r="G11" s="5" t="inlineStr">
        <is>
          <t>Grandstream</t>
        </is>
      </c>
      <c r="H11" s="5">
        <f>HYPERLINK("https://itrix.uz/product/965", "🔗 Mahsulot sotib olish")</f>
        <v/>
      </c>
      <c r="I11" t="inlineStr">
        <is>
          <t>4-965-854</t>
        </is>
      </c>
    </row>
    <row r="12" ht="30" customHeight="1">
      <c r="A12" s="4" t="inlineStr">
        <is>
          <t>Switchlar</t>
        </is>
      </c>
      <c r="B12" s="4" t="inlineStr">
        <is>
          <t>Ubiquiti EdgeSwitch-48-500W kommutatori</t>
        </is>
      </c>
      <c r="C12" s="5" t="inlineStr"/>
      <c r="D12" s="5" t="n">
        <v>13508769</v>
      </c>
      <c r="E12" s="5" t="n">
        <v>12061401</v>
      </c>
      <c r="F12" s="5" t="n">
        <v>11133573</v>
      </c>
      <c r="G12" s="5" t="inlineStr">
        <is>
          <t>UniFi UBIQUITI</t>
        </is>
      </c>
      <c r="H12" s="5">
        <f>HYPERLINK("https://itrix.uz/product/1345", "🔗 Mahsulot sotib olish")</f>
        <v/>
      </c>
      <c r="I12" t="inlineStr">
        <is>
          <t>4-1345-1045</t>
        </is>
      </c>
    </row>
    <row r="13" ht="30" customHeight="1">
      <c r="A13" s="4" t="inlineStr">
        <is>
          <t>Tarmoqqa biriktirilgan xotira (NAS) va ma'lumotlarni saqlash tizimlari (DSS)</t>
        </is>
      </c>
      <c r="B13" s="4" t="inlineStr">
        <is>
          <t>Tarmoqli saqlash qurilmasi (NAS) Synology DS1819+</t>
        </is>
      </c>
      <c r="C13" s="5" t="inlineStr"/>
      <c r="D13" s="5" t="n">
        <v>18945696</v>
      </c>
      <c r="E13" s="5" t="n">
        <v>16915800</v>
      </c>
      <c r="F13" s="5" t="inlineStr"/>
      <c r="G13" s="5" t="inlineStr">
        <is>
          <t>Synology</t>
        </is>
      </c>
      <c r="H13" s="5">
        <f>HYPERLINK("https://itrix.uz/product/272", "🔗 Mahsulot sotib olish")</f>
        <v/>
      </c>
      <c r="I13" t="inlineStr">
        <is>
          <t>4-272-274</t>
        </is>
      </c>
    </row>
    <row r="14" ht="30" customHeight="1">
      <c r="A14" s="4" t="inlineStr">
        <is>
          <t>Switchlar</t>
        </is>
      </c>
      <c r="B14" s="4" t="inlineStr">
        <is>
          <t>Boshqariladigan kommutator Ubiquiti UniFi Switch 48 USW-48-EU</t>
        </is>
      </c>
      <c r="C14" s="5" t="inlineStr"/>
      <c r="D14" s="5" t="n">
        <v>7399392</v>
      </c>
      <c r="E14" s="5" t="n">
        <v>6606600</v>
      </c>
      <c r="F14" s="5" t="inlineStr"/>
      <c r="G14" s="5" t="inlineStr">
        <is>
          <t>UniFi UBIQUITI</t>
        </is>
      </c>
      <c r="H14" s="5">
        <f>HYPERLINK("https://itrix.uz/product/189", "🔗 Mahsulot sotib olish")</f>
        <v/>
      </c>
      <c r="I14" t="inlineStr">
        <is>
          <t>4-189-191</t>
        </is>
      </c>
    </row>
    <row r="15" ht="30" customHeight="1">
      <c r="A15" s="4" t="inlineStr">
        <is>
          <t>Switchlar</t>
        </is>
      </c>
      <c r="B15" s="4" t="inlineStr">
        <is>
          <t xml:space="preserve"> 3-darajali boshqariladigan kommutator SNR-S2995G-24TX-UPS</t>
        </is>
      </c>
      <c r="C15" s="5" t="inlineStr"/>
      <c r="D15" s="5" t="n">
        <v>11370128</v>
      </c>
      <c r="E15" s="5" t="n">
        <v>10151900</v>
      </c>
      <c r="F15" s="5" t="inlineStr"/>
      <c r="G15" s="5" t="inlineStr">
        <is>
          <t>SNR</t>
        </is>
      </c>
      <c r="H15" s="5">
        <f>HYPERLINK("https://itrix.uz/product/452", "🔗 Mahsulot sotib olish")</f>
        <v/>
      </c>
      <c r="I15" t="inlineStr">
        <is>
          <t>4-452-436</t>
        </is>
      </c>
    </row>
    <row r="16" ht="30" customHeight="1">
      <c r="A16" s="4" t="inlineStr">
        <is>
          <t>Switchlar</t>
        </is>
      </c>
      <c r="B16" s="4" t="inlineStr">
        <is>
          <t xml:space="preserve"> 2-darajali boshqariladigan kommutator SNR-S2982G-8T</t>
        </is>
      </c>
      <c r="C16" s="5" t="inlineStr"/>
      <c r="D16" s="5" t="n">
        <v>2108420</v>
      </c>
      <c r="E16" s="5" t="n">
        <v>1882518</v>
      </c>
      <c r="F16" s="5" t="inlineStr"/>
      <c r="G16" s="5" t="inlineStr">
        <is>
          <t>SNR</t>
        </is>
      </c>
      <c r="H16" s="5">
        <f>HYPERLINK("https://itrix.uz/product/424", "🔗 Mahsulot sotib olish")</f>
        <v/>
      </c>
      <c r="I16" t="inlineStr">
        <is>
          <t>4-424-408</t>
        </is>
      </c>
    </row>
    <row r="17" ht="30" customHeight="1">
      <c r="A17" s="4" t="inlineStr">
        <is>
          <t>Tarmoqqa biriktirilgan xotira (NAS) va ma'lumotlarni saqlash tizimlari (DSS)</t>
        </is>
      </c>
      <c r="B17" s="4" t="inlineStr">
        <is>
          <t xml:space="preserve"> Tarmoqli saqlash qurilmasi (NAS) Synology RS820RP+</t>
        </is>
      </c>
      <c r="C17" s="5" t="inlineStr"/>
      <c r="D17" s="5" t="n">
        <v>18986352</v>
      </c>
      <c r="E17" s="5" t="n">
        <v>16952100</v>
      </c>
      <c r="F17" s="5" t="inlineStr"/>
      <c r="G17" s="5" t="inlineStr">
        <is>
          <t>Synology</t>
        </is>
      </c>
      <c r="H17" s="5">
        <f>HYPERLINK("https://itrix.uz/product/280", "🔗 Mahsulot sotib olish")</f>
        <v/>
      </c>
      <c r="I17" t="inlineStr">
        <is>
          <t>4-280-282</t>
        </is>
      </c>
    </row>
    <row r="18" ht="30" customHeight="1">
      <c r="A18" s="4" t="inlineStr">
        <is>
          <t>Switchlar</t>
        </is>
      </c>
      <c r="B18" s="4" t="inlineStr">
        <is>
          <t xml:space="preserve"> 2-darajali boshqariladigan kommutator SNR-S2982G-24TE</t>
        </is>
      </c>
      <c r="C18" s="5" t="inlineStr"/>
      <c r="D18" s="5" t="n">
        <v>3293136</v>
      </c>
      <c r="E18" s="5" t="n">
        <v>2940300</v>
      </c>
      <c r="F18" s="5" t="n">
        <v>2707375</v>
      </c>
      <c r="G18" s="5" t="inlineStr">
        <is>
          <t>SNR</t>
        </is>
      </c>
      <c r="H18" s="5">
        <f>HYPERLINK("https://itrix.uz/product/425", "🔗 Mahsulot sotib olish")</f>
        <v/>
      </c>
      <c r="I18" t="inlineStr">
        <is>
          <t>4-425-409</t>
        </is>
      </c>
    </row>
    <row r="19" ht="30" customHeight="1">
      <c r="A19" s="4" t="inlineStr">
        <is>
          <t>Switchlar</t>
        </is>
      </c>
      <c r="B19" s="4" t="inlineStr">
        <is>
          <t xml:space="preserve"> 2-darajali boshqariladigan kommutator SNR-S2982G-24TE-UPS</t>
        </is>
      </c>
      <c r="C19" s="5" t="inlineStr"/>
      <c r="D19" s="5" t="n">
        <v>3753904</v>
      </c>
      <c r="E19" s="5" t="n">
        <v>3351700</v>
      </c>
      <c r="F19" s="5" t="inlineStr"/>
      <c r="G19" s="5" t="inlineStr">
        <is>
          <t>SNR</t>
        </is>
      </c>
      <c r="H19" s="5">
        <f>HYPERLINK("https://itrix.uz/product/428", "🔗 Mahsulot sotib olish")</f>
        <v/>
      </c>
      <c r="I19" t="inlineStr">
        <is>
          <t>4-428-412</t>
        </is>
      </c>
    </row>
    <row r="20" ht="30" customHeight="1">
      <c r="A20" s="4" t="inlineStr">
        <is>
          <t>Telekommunikatsiya shkaflari</t>
        </is>
      </c>
      <c r="B20" s="4" t="inlineStr">
        <is>
          <t xml:space="preserve"> 32 unitli shkaf 600x800x1610mm – 500kg</t>
        </is>
      </c>
      <c r="C20" s="5" t="inlineStr"/>
      <c r="D20" s="5" t="n">
        <v>6166160</v>
      </c>
      <c r="E20" s="5" t="n">
        <v>5505500</v>
      </c>
      <c r="F20" s="5" t="inlineStr"/>
      <c r="G20" s="5" t="inlineStr"/>
      <c r="H20" s="5">
        <f>HYPERLINK("https://itrix.uz/product/504", "🔗 Mahsulot sotib olish")</f>
        <v/>
      </c>
      <c r="I20" t="inlineStr">
        <is>
          <t>4-504-486</t>
        </is>
      </c>
    </row>
    <row r="21" ht="30" customHeight="1">
      <c r="A21" s="4" t="inlineStr">
        <is>
          <t>Tarmoqqa biriktirilgan xotira (NAS) va ma'lumotlarni saqlash tizimlari (DSS)</t>
        </is>
      </c>
      <c r="B21" s="4" t="inlineStr">
        <is>
          <t xml:space="preserve"> Tarmoqli saqlash qurilmasi (NAS) Synology DS220J</t>
        </is>
      </c>
      <c r="C21" s="5" t="inlineStr"/>
      <c r="D21" s="5" t="n">
        <v>3388000</v>
      </c>
      <c r="E21" s="5" t="n">
        <v>3025000</v>
      </c>
      <c r="F21" s="5" t="inlineStr"/>
      <c r="G21" s="5" t="inlineStr">
        <is>
          <t>Synology</t>
        </is>
      </c>
      <c r="H21" s="5">
        <f>HYPERLINK("https://itrix.uz/product/274", "🔗 Mahsulot sotib olish")</f>
        <v/>
      </c>
      <c r="I21" t="inlineStr">
        <is>
          <t>4-274-276</t>
        </is>
      </c>
    </row>
    <row r="22" ht="30" customHeight="1">
      <c r="A22" s="4" t="inlineStr">
        <is>
          <t>Tarmoqqa biriktirilgan xotira (NAS) va ma'lumotlarni saqlash tizimlari (DSS)</t>
        </is>
      </c>
      <c r="B22" s="4" t="inlineStr">
        <is>
          <t xml:space="preserve"> Tarmoqli saqlash qurilmasi (NAS) Synology DS420+</t>
        </is>
      </c>
      <c r="C22" s="5" t="inlineStr"/>
      <c r="D22" s="5" t="n">
        <v>10651872</v>
      </c>
      <c r="E22" s="5" t="n">
        <v>9510600</v>
      </c>
      <c r="F22" s="5" t="inlineStr"/>
      <c r="G22" s="5" t="inlineStr">
        <is>
          <t>Synology</t>
        </is>
      </c>
      <c r="H22" s="5">
        <f>HYPERLINK("https://itrix.uz/product/275", "🔗 Mahsulot sotib olish")</f>
        <v/>
      </c>
      <c r="I22" t="inlineStr">
        <is>
          <t>4-275-277</t>
        </is>
      </c>
    </row>
    <row r="23" ht="30" customHeight="1">
      <c r="A23" s="4" t="inlineStr">
        <is>
          <t>Switchlar</t>
        </is>
      </c>
      <c r="B23" s="4" t="inlineStr">
        <is>
          <t xml:space="preserve"> 2-darajali boshqariladigan kommutator SNR-S2989G-24TX-2AC</t>
        </is>
      </c>
      <c r="C23" s="5" t="inlineStr"/>
      <c r="D23" s="5" t="n">
        <v>4716096</v>
      </c>
      <c r="E23" s="5" t="n">
        <v>4210800</v>
      </c>
      <c r="F23" s="5" t="inlineStr"/>
      <c r="G23" s="5" t="inlineStr">
        <is>
          <t>SNR</t>
        </is>
      </c>
      <c r="H23" s="5">
        <f>HYPERLINK("https://itrix.uz/product/434", "🔗 Mahsulot sotib olish")</f>
        <v/>
      </c>
      <c r="I23" t="inlineStr">
        <is>
          <t>4-434-418</t>
        </is>
      </c>
    </row>
    <row r="24" ht="30" customHeight="1">
      <c r="A24" s="4" t="inlineStr">
        <is>
          <t>Switchlar</t>
        </is>
      </c>
      <c r="B24" s="4" t="inlineStr">
        <is>
          <t xml:space="preserve"> 2+ darajali boshqariladigan kommutator SNR-S5110G-24TX</t>
        </is>
      </c>
      <c r="C24" s="5" t="inlineStr"/>
      <c r="D24" s="5" t="n">
        <v>3401552</v>
      </c>
      <c r="E24" s="5" t="n">
        <v>3037100</v>
      </c>
      <c r="F24" s="5" t="inlineStr"/>
      <c r="G24" s="5" t="inlineStr">
        <is>
          <t>SNR</t>
        </is>
      </c>
      <c r="H24" s="5">
        <f>HYPERLINK("https://itrix.uz/product/438", "🔗 Mahsulot sotib olish")</f>
        <v/>
      </c>
      <c r="I24" t="inlineStr">
        <is>
          <t>4-438-422</t>
        </is>
      </c>
    </row>
    <row r="25" ht="30" customHeight="1">
      <c r="A25" s="4" t="inlineStr">
        <is>
          <t>Tarmoqqa biriktirilgan xotira (NAS) va ma'lumotlarni saqlash tizimlari (DSS)</t>
        </is>
      </c>
      <c r="B25" s="4" t="inlineStr">
        <is>
          <t xml:space="preserve"> Tarmoqli saqlash qurilmasi (NAS) Synology DS423+</t>
        </is>
      </c>
      <c r="C25" s="5" t="inlineStr"/>
      <c r="D25" s="5" t="n">
        <v>9039184</v>
      </c>
      <c r="E25" s="5" t="n">
        <v>8070700</v>
      </c>
      <c r="F25" s="5" t="inlineStr"/>
      <c r="G25" s="5" t="inlineStr">
        <is>
          <t>Synology</t>
        </is>
      </c>
      <c r="H25" s="5">
        <f>HYPERLINK("https://itrix.uz/product/265", "🔗 Mahsulot sotib olish")</f>
        <v/>
      </c>
      <c r="I25" t="inlineStr">
        <is>
          <t>4-265-267</t>
        </is>
      </c>
    </row>
    <row r="26" ht="30" customHeight="1">
      <c r="A26" s="4" t="inlineStr">
        <is>
          <t>Switchlar</t>
        </is>
      </c>
      <c r="B26" s="4" t="inlineStr">
        <is>
          <t xml:space="preserve"> 3-darajali boshqariladigan kommutator SNR-S4650X-48FQ</t>
        </is>
      </c>
      <c r="C26" s="5" t="inlineStr"/>
      <c r="D26" s="5" t="n">
        <v>167150639</v>
      </c>
      <c r="E26" s="5" t="n">
        <v>149241642</v>
      </c>
      <c r="F26" s="5" t="inlineStr"/>
      <c r="G26" s="5" t="inlineStr">
        <is>
          <t>SNR</t>
        </is>
      </c>
      <c r="H26" s="5">
        <f>HYPERLINK("https://itrix.uz/product/441", "🔗 Mahsulot sotib olish")</f>
        <v/>
      </c>
      <c r="I26" t="inlineStr">
        <is>
          <t>4-441-425</t>
        </is>
      </c>
    </row>
    <row r="27" ht="30" customHeight="1">
      <c r="A27" s="4" t="inlineStr">
        <is>
          <t>Tarmoqqa biriktirilgan xotira (NAS) va ma'lumotlarni saqlash tizimlari (DSS)</t>
        </is>
      </c>
      <c r="B27" s="4" t="inlineStr">
        <is>
          <t>Tarmoqli saqlash qurilmasi (NAS) Synology DS220+</t>
        </is>
      </c>
      <c r="C27" s="5" t="inlineStr"/>
      <c r="D27" s="5" t="n">
        <v>4919376</v>
      </c>
      <c r="E27" s="5" t="n">
        <v>4392300</v>
      </c>
      <c r="F27" s="5" t="inlineStr"/>
      <c r="G27" s="5" t="inlineStr">
        <is>
          <t>Synology</t>
        </is>
      </c>
      <c r="H27" s="5">
        <f>HYPERLINK("https://itrix.uz/product/264", "🔗 Mahsulot sotib olish")</f>
        <v/>
      </c>
      <c r="I27" t="inlineStr">
        <is>
          <t>4-264-266</t>
        </is>
      </c>
    </row>
    <row r="28" ht="30" customHeight="1">
      <c r="A28" s="4" t="inlineStr">
        <is>
          <t>Switchlar</t>
        </is>
      </c>
      <c r="B28" s="4" t="inlineStr">
        <is>
          <t xml:space="preserve"> Ko‘p xizmatli Ubiquiti UniFi Dream Machine Pro UDM-Pro shlyuzi</t>
        </is>
      </c>
      <c r="C28" s="5" t="inlineStr"/>
      <c r="D28" s="5" t="n">
        <v>6955971</v>
      </c>
      <c r="E28" s="5" t="n">
        <v>6210688</v>
      </c>
      <c r="F28" s="5" t="n">
        <v>5732980</v>
      </c>
      <c r="G28" s="5" t="inlineStr">
        <is>
          <t>UniFi UBIQUITI</t>
        </is>
      </c>
      <c r="H28" s="5">
        <f>HYPERLINK("https://itrix.uz/product/310", "🔗 Mahsulot sotib olish")</f>
        <v/>
      </c>
      <c r="I28" t="inlineStr">
        <is>
          <t>4-310-312</t>
        </is>
      </c>
    </row>
    <row r="29" ht="30" customHeight="1">
      <c r="A29" s="4" t="inlineStr">
        <is>
          <t>Switchlar</t>
        </is>
      </c>
      <c r="B29" s="4" t="inlineStr">
        <is>
          <t>HPE Aruba IOn 1960 JL809A 48G 2XGT 2SFP+ PoE 600W kommutatori</t>
        </is>
      </c>
      <c r="C29" s="5" t="inlineStr"/>
      <c r="D29" s="5" t="n">
        <v>32375728</v>
      </c>
      <c r="E29" s="5" t="n">
        <v>28906900</v>
      </c>
      <c r="F29" s="5" t="inlineStr"/>
      <c r="G29" s="5" t="inlineStr">
        <is>
          <t>HPE</t>
        </is>
      </c>
      <c r="H29" s="5">
        <f>HYPERLINK("https://itrix.uz/product/167", "🔗 Mahsulot sotib olish")</f>
        <v/>
      </c>
      <c r="I29" t="inlineStr">
        <is>
          <t>4-167-169</t>
        </is>
      </c>
    </row>
    <row r="30" ht="30" customHeight="1">
      <c r="A30" s="4" t="inlineStr">
        <is>
          <t>Switchlar</t>
        </is>
      </c>
      <c r="B30" s="4" t="inlineStr">
        <is>
          <t>Boshqariladigan kommutator HPE Aruba 2930F JL255A 24G PoE+ 4SFP+</t>
        </is>
      </c>
      <c r="C30" s="5" t="inlineStr"/>
      <c r="D30" s="5" t="n">
        <v>23987040</v>
      </c>
      <c r="E30" s="5" t="n">
        <v>21417000</v>
      </c>
      <c r="F30" s="5" t="inlineStr"/>
      <c r="G30" s="5" t="inlineStr">
        <is>
          <t>HPE</t>
        </is>
      </c>
      <c r="H30" s="5">
        <f>HYPERLINK("https://itrix.uz/product/169", "🔗 Mahsulot sotib olish")</f>
        <v/>
      </c>
      <c r="I30" t="inlineStr">
        <is>
          <t>4-169-171</t>
        </is>
      </c>
    </row>
    <row r="31" ht="30" customHeight="1">
      <c r="A31" s="4" t="inlineStr">
        <is>
          <t>Switchlar</t>
        </is>
      </c>
      <c r="B31" s="4" t="inlineStr">
        <is>
          <t>HPE Aruba IOn 1930 JL686B 48G 4SFP+ PoE 370W kommutatori</t>
        </is>
      </c>
      <c r="C31" s="5" t="inlineStr"/>
      <c r="D31" s="5" t="n">
        <v>11099088</v>
      </c>
      <c r="E31" s="5" t="n">
        <v>9909900</v>
      </c>
      <c r="F31" s="5" t="inlineStr"/>
      <c r="G31" s="5" t="inlineStr">
        <is>
          <t>HPE</t>
        </is>
      </c>
      <c r="H31" s="5">
        <f>HYPERLINK("https://itrix.uz/product/173", "🔗 Mahsulot sotib olish")</f>
        <v/>
      </c>
      <c r="I31" t="inlineStr">
        <is>
          <t>4-173-175</t>
        </is>
      </c>
    </row>
    <row r="32" ht="30" customHeight="1">
      <c r="A32" s="4" t="inlineStr">
        <is>
          <t>Switchlar</t>
        </is>
      </c>
      <c r="B32" s="4" t="inlineStr">
        <is>
          <t>Boshqariladigan kommutator Ubiquiti UniFi Switch 24 PoE US-24-250W</t>
        </is>
      </c>
      <c r="C32" s="5" t="inlineStr"/>
      <c r="D32" s="5" t="n">
        <v>10557008</v>
      </c>
      <c r="E32" s="5" t="n">
        <v>9425900</v>
      </c>
      <c r="F32" s="5" t="inlineStr"/>
      <c r="G32" s="5" t="inlineStr">
        <is>
          <t>UniFi UBIQUITI</t>
        </is>
      </c>
      <c r="H32" s="5">
        <f>HYPERLINK("https://itrix.uz/product/182", "🔗 Mahsulot sotib olish")</f>
        <v/>
      </c>
      <c r="I32" t="inlineStr">
        <is>
          <t>4-182-184</t>
        </is>
      </c>
    </row>
    <row r="33" ht="30" customHeight="1">
      <c r="A33" s="4" t="inlineStr">
        <is>
          <t>Switchlar</t>
        </is>
      </c>
      <c r="B33" s="4" t="inlineStr">
        <is>
          <t>Boshqariladigan kommutator Ubiquiti UniFi Switch 8 PoE US-8-150W</t>
        </is>
      </c>
      <c r="C33" s="5" t="inlineStr"/>
      <c r="D33" s="5" t="n">
        <v>3672592</v>
      </c>
      <c r="E33" s="5" t="n">
        <v>3279100</v>
      </c>
      <c r="F33" s="5" t="inlineStr"/>
      <c r="G33" s="5" t="inlineStr">
        <is>
          <t>UniFi UBIQUITI</t>
        </is>
      </c>
      <c r="H33" s="5">
        <f>HYPERLINK("https://itrix.uz/product/184", "🔗 Mahsulot sotib olish")</f>
        <v/>
      </c>
      <c r="I33" t="inlineStr">
        <is>
          <t>4-184-186</t>
        </is>
      </c>
    </row>
    <row r="34" ht="30" customHeight="1">
      <c r="A34" s="4" t="inlineStr">
        <is>
          <t>Switchlar</t>
        </is>
      </c>
      <c r="B34" s="4" t="inlineStr">
        <is>
          <t>Boshqariladigan kommutator Ubiquiti UniFi Switch 16 PoE US-16-150W</t>
        </is>
      </c>
      <c r="C34" s="5" t="inlineStr"/>
      <c r="D34" s="5" t="n">
        <v>5664736</v>
      </c>
      <c r="E34" s="5" t="n">
        <v>5057800</v>
      </c>
      <c r="F34" s="5" t="inlineStr"/>
      <c r="G34" s="5" t="inlineStr">
        <is>
          <t>UniFi UBIQUITI</t>
        </is>
      </c>
      <c r="H34" s="5">
        <f>HYPERLINK("https://itrix.uz/product/181", "🔗 Mahsulot sotib olish")</f>
        <v/>
      </c>
      <c r="I34" t="inlineStr">
        <is>
          <t>4-181-183</t>
        </is>
      </c>
    </row>
    <row r="35" ht="30" customHeight="1">
      <c r="A35" s="4" t="inlineStr">
        <is>
          <t>Switchlar</t>
        </is>
      </c>
      <c r="B35" s="4" t="inlineStr">
        <is>
          <t>Boshqariladigan kommutator Ubiquiti UniFi Switch 24 USW-24-EU</t>
        </is>
      </c>
      <c r="C35" s="5" t="inlineStr"/>
      <c r="D35" s="5" t="n">
        <v>4363744</v>
      </c>
      <c r="E35" s="5" t="n">
        <v>3896200</v>
      </c>
      <c r="F35" s="5" t="inlineStr"/>
      <c r="G35" s="5" t="inlineStr">
        <is>
          <t>UniFi UBIQUITI</t>
        </is>
      </c>
      <c r="H35" s="5">
        <f>HYPERLINK("https://itrix.uz/product/188", "🔗 Mahsulot sotib olish")</f>
        <v/>
      </c>
      <c r="I35" t="inlineStr">
        <is>
          <t>4-188-190</t>
        </is>
      </c>
    </row>
    <row r="36" ht="30" customHeight="1">
      <c r="A36" s="4" t="inlineStr">
        <is>
          <t>Tarmoqqa biriktirilgan xotira (NAS) va ma'lumotlarni saqlash tizimlari (DSS)</t>
        </is>
      </c>
      <c r="B36" s="4" t="inlineStr">
        <is>
          <t xml:space="preserve"> Tarmoqli saqlash qurilmasi (NAS) Synology FlashStation FS6400</t>
        </is>
      </c>
      <c r="C36" s="5" t="inlineStr"/>
      <c r="D36" s="5" t="n">
        <v>191733696</v>
      </c>
      <c r="E36" s="5" t="n">
        <v>171190800</v>
      </c>
      <c r="F36" s="5" t="inlineStr"/>
      <c r="G36" s="5" t="inlineStr">
        <is>
          <t>Synology</t>
        </is>
      </c>
      <c r="H36" s="5">
        <f>HYPERLINK("https://itrix.uz/product/277", "🔗 Mahsulot sotib olish")</f>
        <v/>
      </c>
      <c r="I36" t="inlineStr">
        <is>
          <t>4-277-279</t>
        </is>
      </c>
    </row>
    <row r="37" ht="30" customHeight="1">
      <c r="A37" s="4" t="inlineStr">
        <is>
          <t>Switchlar</t>
        </is>
      </c>
      <c r="B37" s="4" t="inlineStr">
        <is>
          <t xml:space="preserve"> 3-darajali boshqariladigan kommutator SNR-S300X-24FQ-2AC</t>
        </is>
      </c>
      <c r="C37" s="5" t="inlineStr"/>
      <c r="D37" s="5" t="n">
        <v>61105968</v>
      </c>
      <c r="E37" s="5" t="n">
        <v>54558900</v>
      </c>
      <c r="F37" s="5" t="inlineStr"/>
      <c r="G37" s="5" t="inlineStr">
        <is>
          <t>SNR</t>
        </is>
      </c>
      <c r="H37" s="5">
        <f>HYPERLINK("https://itrix.uz/product/463", "🔗 Mahsulot sotib olish")</f>
        <v/>
      </c>
      <c r="I37" t="inlineStr">
        <is>
          <t>4-463-447</t>
        </is>
      </c>
    </row>
    <row r="38" ht="30" customHeight="1">
      <c r="A38" s="4" t="inlineStr">
        <is>
          <t>Kopar patch kordlar</t>
        </is>
      </c>
      <c r="B38" s="4" t="inlineStr">
        <is>
          <t>Patch-kabel Cat 5e, FTP, RJ45, 26AWG, 7/0.16 Cu, 1.00 m, LSZH, Kulrang</t>
        </is>
      </c>
      <c r="C38" s="5" t="inlineStr"/>
      <c r="D38" s="5" t="n">
        <v>135520</v>
      </c>
      <c r="E38" s="5" t="n">
        <v>121000</v>
      </c>
      <c r="F38" s="5" t="inlineStr"/>
      <c r="G38" s="5" t="inlineStr">
        <is>
          <t>Intel</t>
        </is>
      </c>
      <c r="H38" s="5">
        <f>HYPERLINK("https://itrix.uz/product/256", "🔗 Mahsulot sotib olish")</f>
        <v/>
      </c>
      <c r="I38" t="inlineStr">
        <is>
          <t>4-256-258</t>
        </is>
      </c>
    </row>
    <row r="39" ht="30" customHeight="1">
      <c r="A39" s="4" t="inlineStr">
        <is>
          <t>Kopar patch kordlar</t>
        </is>
      </c>
      <c r="B39" s="4" t="inlineStr">
        <is>
          <t>Patch-kabel Cat 6, FTP, RJ45, 26AWG, 7/0.16 Cu, 1.00 m, LSZH, kulrang</t>
        </is>
      </c>
      <c r="C39" s="5" t="inlineStr"/>
      <c r="D39" s="5" t="n">
        <v>135520</v>
      </c>
      <c r="E39" s="5" t="n">
        <v>121000</v>
      </c>
      <c r="F39" s="5" t="inlineStr"/>
      <c r="G39" s="5" t="inlineStr">
        <is>
          <t>Intel</t>
        </is>
      </c>
      <c r="H39" s="5">
        <f>HYPERLINK("https://itrix.uz/product/260", "🔗 Mahsulot sotib olish")</f>
        <v/>
      </c>
      <c r="I39" t="inlineStr">
        <is>
          <t>4-260-261</t>
        </is>
      </c>
    </row>
    <row r="40" ht="30" customHeight="1">
      <c r="A40" s="4" t="inlineStr">
        <is>
          <t>Switchlar</t>
        </is>
      </c>
      <c r="B40" s="4" t="inlineStr">
        <is>
          <t>H3C L2 S1850-28P 28-portli 24GE+4SFP tarmoq kommutatori</t>
        </is>
      </c>
      <c r="C40" s="5" t="inlineStr"/>
      <c r="D40" s="5" t="n">
        <v>2737504</v>
      </c>
      <c r="E40" s="5" t="n">
        <v>2444200</v>
      </c>
      <c r="F40" s="5" t="inlineStr"/>
      <c r="G40" s="5" t="inlineStr">
        <is>
          <t>H3C</t>
        </is>
      </c>
      <c r="H40" s="5">
        <f>HYPERLINK("https://itrix.uz/product/196", "🔗 Mahsulot sotib olish")</f>
        <v/>
      </c>
      <c r="I40" t="inlineStr">
        <is>
          <t>4-196-198</t>
        </is>
      </c>
    </row>
    <row r="41" ht="30" customHeight="1">
      <c r="A41" s="4" t="inlineStr">
        <is>
          <t>Switchlar</t>
        </is>
      </c>
      <c r="B41" s="4" t="inlineStr">
        <is>
          <t>H3C L2 S5130S-28S-LI 24 ta G va 4 ta 1G/10G SFP+ portli boshqariladigan tarmoq kommutatori</t>
        </is>
      </c>
      <c r="C41" s="5" t="inlineStr"/>
      <c r="D41" s="5" t="n">
        <v>3455760</v>
      </c>
      <c r="E41" s="5" t="n">
        <v>3085500</v>
      </c>
      <c r="F41" s="5" t="inlineStr"/>
      <c r="G41" s="5" t="inlineStr">
        <is>
          <t>H3C</t>
        </is>
      </c>
      <c r="H41" s="5">
        <f>HYPERLINK("https://itrix.uz/product/201", "🔗 Mahsulot sotib olish")</f>
        <v/>
      </c>
      <c r="I41" t="inlineStr">
        <is>
          <t>4-201-203</t>
        </is>
      </c>
    </row>
    <row r="42" ht="30" customHeight="1">
      <c r="A42" s="4" t="inlineStr">
        <is>
          <t>Switchlar</t>
        </is>
      </c>
      <c r="B42" s="4" t="inlineStr">
        <is>
          <t>H3C L2 S1850V2-28X 24G va 4 ta 1G/10G BASE-X SFP+ portli boshqariladigan tarmoq kommutatori</t>
        </is>
      </c>
      <c r="C42" s="5" t="inlineStr"/>
      <c r="D42" s="5" t="n">
        <v>5082000</v>
      </c>
      <c r="E42" s="5" t="n">
        <v>4537500</v>
      </c>
      <c r="F42" s="5" t="inlineStr"/>
      <c r="G42" s="5" t="inlineStr">
        <is>
          <t>H3C</t>
        </is>
      </c>
      <c r="H42" s="5">
        <f>HYPERLINK("https://itrix.uz/product/199", "🔗 Mahsulot sotib olish")</f>
        <v/>
      </c>
      <c r="I42" t="inlineStr">
        <is>
          <t>4-199-201</t>
        </is>
      </c>
    </row>
    <row r="43">
      <c r="A43" s="4" t="inlineStr">
        <is>
          <t>Switchlar</t>
        </is>
      </c>
      <c r="B43" s="4" t="inlineStr">
        <is>
          <t>H3C L2 S5120V2-28P-PWR-LI 24 ta Gbit + 4 ta SFP + PoE (185W) portli boshqariladigan tarmoq kommutatori</t>
        </is>
      </c>
      <c r="C43" s="5" t="inlineStr"/>
      <c r="D43" s="5" t="n">
        <v>5325936</v>
      </c>
      <c r="E43" s="5" t="n">
        <v>4755300</v>
      </c>
      <c r="F43" s="5" t="inlineStr"/>
      <c r="G43" s="5" t="inlineStr">
        <is>
          <t>H3C</t>
        </is>
      </c>
      <c r="H43" s="5">
        <f>HYPERLINK("https://itrix.uz/product/205", "🔗 Mahsulot sotib olish")</f>
        <v/>
      </c>
      <c r="I43" t="inlineStr">
        <is>
          <t>4-205-207</t>
        </is>
      </c>
    </row>
    <row r="44" ht="30" customHeight="1">
      <c r="A44" s="4" t="inlineStr">
        <is>
          <t>Switchlar</t>
        </is>
      </c>
      <c r="B44" s="4" t="inlineStr">
        <is>
          <t>Boshqariladigan kommutator Ubiquiti UniFi Switch 48 PoE USW-48-POE-EU</t>
        </is>
      </c>
      <c r="C44" s="5" t="inlineStr"/>
      <c r="D44" s="5" t="n">
        <v>10422301</v>
      </c>
      <c r="E44" s="5" t="n">
        <v>9305626</v>
      </c>
      <c r="F44" s="5" t="n">
        <v>8696875</v>
      </c>
      <c r="G44" s="5" t="inlineStr">
        <is>
          <t>UniFi UBIQUITI</t>
        </is>
      </c>
      <c r="H44" s="5">
        <f>HYPERLINK("https://itrix.uz/product/187", "🔗 Mahsulot sotib olish")</f>
        <v/>
      </c>
      <c r="I44" t="inlineStr">
        <is>
          <t>4-187-189</t>
        </is>
      </c>
    </row>
    <row r="45" ht="30" customHeight="1">
      <c r="A45" s="4" t="inlineStr">
        <is>
          <t>Switchlar</t>
        </is>
      </c>
      <c r="B45" s="4" t="inlineStr">
        <is>
          <t>Ubiquiti USW-Pro-XG-24-PoE boshqariladigan kommutatori</t>
        </is>
      </c>
      <c r="C45" s="5" t="inlineStr"/>
      <c r="D45" s="5" t="n">
        <v>30747591</v>
      </c>
      <c r="E45" s="5" t="n">
        <v>27453206</v>
      </c>
      <c r="F45" s="5" t="n">
        <v>25341393</v>
      </c>
      <c r="G45" s="5" t="inlineStr">
        <is>
          <t>UniFi UBIQUITI</t>
        </is>
      </c>
      <c r="H45" s="5">
        <f>HYPERLINK("https://itrix.uz/product/1435", "🔗 Mahsulot sotib olish")</f>
        <v/>
      </c>
      <c r="I45" t="inlineStr">
        <is>
          <t>4-1435-1135</t>
        </is>
      </c>
    </row>
    <row r="46" ht="30" customHeight="1">
      <c r="A46" s="4" t="inlineStr">
        <is>
          <t>Switchlar</t>
        </is>
      </c>
      <c r="B46" s="4" t="inlineStr">
        <is>
          <t>H3C L2 S5024PV3-EI-PWR 24 ta Gbit + PoE + 4 ta SFP portli boshqariladigan tarmoq kommutatori</t>
        </is>
      </c>
      <c r="C46" s="5" t="inlineStr"/>
      <c r="D46" s="5" t="n">
        <v>4607680</v>
      </c>
      <c r="E46" s="5" t="n">
        <v>4114000</v>
      </c>
      <c r="F46" s="5" t="inlineStr"/>
      <c r="G46" s="5" t="inlineStr">
        <is>
          <t>H3C</t>
        </is>
      </c>
      <c r="H46" s="5">
        <f>HYPERLINK("https://itrix.uz/product/204", "🔗 Mahsulot sotib olish")</f>
        <v/>
      </c>
      <c r="I46" t="inlineStr">
        <is>
          <t>4-204-206</t>
        </is>
      </c>
    </row>
    <row r="47" ht="30" customHeight="1">
      <c r="A47" s="4" t="inlineStr">
        <is>
          <t>Switchlar</t>
        </is>
      </c>
      <c r="B47" s="4" t="inlineStr">
        <is>
          <t>H3C L2 S5024PV3-EI boshqariladigan tarmoq kommutatori — 24 ta Gbit port va 4 ta SFP port bilan</t>
        </is>
      </c>
      <c r="C47" s="5" t="inlineStr"/>
      <c r="D47" s="5" t="n">
        <v>3333792</v>
      </c>
      <c r="E47" s="5" t="n">
        <v>2976600</v>
      </c>
      <c r="F47" s="5" t="inlineStr"/>
      <c r="G47" s="5" t="inlineStr">
        <is>
          <t>H3C</t>
        </is>
      </c>
      <c r="H47" s="5">
        <f>HYPERLINK("https://itrix.uz/product/216", "🔗 Mahsulot sotib olish")</f>
        <v/>
      </c>
      <c r="I47" t="inlineStr">
        <is>
          <t>4-216-218</t>
        </is>
      </c>
    </row>
    <row r="48" ht="30" customHeight="1">
      <c r="A48" s="4" t="inlineStr">
        <is>
          <t>Tarmoq qurilmalari</t>
        </is>
      </c>
      <c r="B48" s="4" t="inlineStr">
        <is>
          <t>Ubiquiti U-Cable-Patch-3M-RJ45-White patch-kabeli</t>
        </is>
      </c>
      <c r="C48" s="5" t="inlineStr"/>
      <c r="D48" s="5" t="n">
        <v>58003</v>
      </c>
      <c r="E48" s="5" t="n">
        <v>51788</v>
      </c>
      <c r="F48" s="5" t="n">
        <v>47795</v>
      </c>
      <c r="G48" s="5" t="inlineStr">
        <is>
          <t>UniFi UBIQUITI</t>
        </is>
      </c>
      <c r="H48" s="5">
        <f>HYPERLINK("https://itrix.uz/product/1402", "🔗 Mahsulot sotib olish")</f>
        <v/>
      </c>
      <c r="I48" t="inlineStr">
        <is>
          <t>4-1402-1102</t>
        </is>
      </c>
    </row>
    <row r="49" ht="30" customHeight="1">
      <c r="A49" s="4" t="inlineStr">
        <is>
          <t>Switchlar</t>
        </is>
      </c>
      <c r="B49" s="4" t="inlineStr">
        <is>
          <t xml:space="preserve"> 2-darajali boshqariladigan kommutator SNR-S2962-24T</t>
        </is>
      </c>
      <c r="C49" s="5" t="inlineStr"/>
      <c r="D49" s="5" t="n">
        <v>1734656</v>
      </c>
      <c r="E49" s="5" t="n">
        <v>1548800</v>
      </c>
      <c r="F49" s="5" t="inlineStr"/>
      <c r="G49" s="5" t="inlineStr">
        <is>
          <t>SNR</t>
        </is>
      </c>
      <c r="H49" s="5">
        <f>HYPERLINK("https://itrix.uz/product/420", "🔗 Mahsulot sotib olish")</f>
        <v/>
      </c>
      <c r="I49" t="inlineStr">
        <is>
          <t>4-420-404</t>
        </is>
      </c>
    </row>
    <row r="50" ht="30" customHeight="1">
      <c r="A50" s="4" t="inlineStr">
        <is>
          <t>Switchlar</t>
        </is>
      </c>
      <c r="B50" s="4" t="inlineStr">
        <is>
          <t>Boshqariladigan kommutator Ubiquiti UniFi Switch 48 PoE US-48-500W</t>
        </is>
      </c>
      <c r="C50" s="5" t="inlineStr"/>
      <c r="D50" s="5" t="n">
        <v>15598352</v>
      </c>
      <c r="E50" s="5" t="n">
        <v>13927100</v>
      </c>
      <c r="F50" s="5" t="inlineStr"/>
      <c r="G50" s="5" t="inlineStr">
        <is>
          <t>UniFi UBIQUITI</t>
        </is>
      </c>
      <c r="H50" s="5">
        <f>HYPERLINK("https://itrix.uz/product/183", "🔗 Mahsulot sotib olish")</f>
        <v/>
      </c>
      <c r="I50" t="inlineStr">
        <is>
          <t>4-183-185</t>
        </is>
      </c>
    </row>
    <row r="51" ht="30" customHeight="1">
      <c r="A51" s="4" t="inlineStr">
        <is>
          <t>Switchlar</t>
        </is>
      </c>
      <c r="B51" s="4" t="inlineStr">
        <is>
          <t>Fortinet FortiSwitch 424E boshqariladigan kommutatori</t>
        </is>
      </c>
      <c r="C51" s="5" t="inlineStr"/>
      <c r="D51" s="5" t="n">
        <v>32023376</v>
      </c>
      <c r="E51" s="5" t="n">
        <v>28592300</v>
      </c>
      <c r="F51" s="5" t="inlineStr"/>
      <c r="G51" s="5" t="inlineStr">
        <is>
          <t>Fortinet</t>
        </is>
      </c>
      <c r="H51" s="5">
        <f>HYPERLINK("https://itrix.uz/product/609", "🔗 Mahsulot sotib olish")</f>
        <v/>
      </c>
      <c r="I51" t="inlineStr">
        <is>
          <t>4-609-563</t>
        </is>
      </c>
    </row>
    <row r="52" ht="30" customHeight="1">
      <c r="A52" s="4" t="inlineStr">
        <is>
          <t>Switchlar</t>
        </is>
      </c>
      <c r="B52" s="4" t="inlineStr">
        <is>
          <t>Dell EMC Networking S5248F-ON kommutatori</t>
        </is>
      </c>
      <c r="C52" s="5" t="inlineStr"/>
      <c r="D52" s="5" t="n">
        <v>75891200</v>
      </c>
      <c r="E52" s="5" t="n">
        <v>67760000</v>
      </c>
      <c r="F52" s="5" t="inlineStr"/>
      <c r="G52" s="5" t="inlineStr">
        <is>
          <t>Dell</t>
        </is>
      </c>
      <c r="H52" s="5">
        <f>HYPERLINK("https://itrix.uz/product/570", "🔗 Mahsulot sotib olish")</f>
        <v/>
      </c>
      <c r="I52" t="inlineStr">
        <is>
          <t>4-570-531</t>
        </is>
      </c>
    </row>
    <row r="53" ht="30" customHeight="1">
      <c r="A53" s="4" t="inlineStr">
        <is>
          <t>Switchlar</t>
        </is>
      </c>
      <c r="B53" s="4" t="inlineStr">
        <is>
          <t>Boshqariladigan kommutator Grandstream GWN7801</t>
        </is>
      </c>
      <c r="C53" s="5" t="inlineStr"/>
      <c r="D53" s="5" t="n">
        <v>1740077</v>
      </c>
      <c r="E53" s="5" t="n">
        <v>1553640</v>
      </c>
      <c r="F53" s="5" t="inlineStr"/>
      <c r="G53" s="5" t="inlineStr">
        <is>
          <t>Grandstream</t>
        </is>
      </c>
      <c r="H53" s="5">
        <f>HYPERLINK("https://itrix.uz/product/966", "🔗 Mahsulot sotib olish")</f>
        <v/>
      </c>
      <c r="I53" t="inlineStr">
        <is>
          <t>4-966-855</t>
        </is>
      </c>
    </row>
    <row r="54" ht="30" customHeight="1">
      <c r="A54" s="4" t="inlineStr">
        <is>
          <t>Switchlar</t>
        </is>
      </c>
      <c r="B54" s="4" t="inlineStr">
        <is>
          <t>Boshqariladigan kommutator Ubiquiti UniFi Switch 48 USW-PRO-48-EU</t>
        </is>
      </c>
      <c r="C54" s="5" t="inlineStr"/>
      <c r="D54" s="5" t="n">
        <v>11586960</v>
      </c>
      <c r="E54" s="5" t="n">
        <v>10345500</v>
      </c>
      <c r="F54" s="5" t="inlineStr"/>
      <c r="G54" s="5" t="inlineStr">
        <is>
          <t>UniFi UBIQUITI</t>
        </is>
      </c>
      <c r="H54" s="5">
        <f>HYPERLINK("https://itrix.uz/product/191", "🔗 Mahsulot sotib olish")</f>
        <v/>
      </c>
      <c r="I54" t="inlineStr">
        <is>
          <t>4-191-193</t>
        </is>
      </c>
    </row>
    <row r="55" ht="30" customHeight="1">
      <c r="A55" s="4" t="inlineStr">
        <is>
          <t>Switchlar</t>
        </is>
      </c>
      <c r="B55" s="4" t="inlineStr">
        <is>
          <t>Boshqariladigan kommutator Ubiquiti UniFi Switch 24 USW-PRO-24-EU</t>
        </is>
      </c>
      <c r="C55" s="5" t="inlineStr"/>
      <c r="D55" s="5" t="n">
        <v>7887264</v>
      </c>
      <c r="E55" s="5" t="n">
        <v>7042200</v>
      </c>
      <c r="F55" s="5" t="inlineStr"/>
      <c r="G55" s="5" t="inlineStr">
        <is>
          <t>UniFi UBIQUITI</t>
        </is>
      </c>
      <c r="H55" s="5">
        <f>HYPERLINK("https://itrix.uz/product/190", "🔗 Mahsulot sotib olish")</f>
        <v/>
      </c>
      <c r="I55" t="inlineStr">
        <is>
          <t>4-190-192</t>
        </is>
      </c>
    </row>
    <row r="56" ht="30" customHeight="1">
      <c r="A56" s="4" t="inlineStr">
        <is>
          <t>Switchlar</t>
        </is>
      </c>
      <c r="B56" s="4" t="inlineStr">
        <is>
          <t>Boshqariladigan Kommutator Grandstream GWN7801P</t>
        </is>
      </c>
      <c r="C56" s="5" t="inlineStr"/>
      <c r="D56" s="5" t="n">
        <v>2715821</v>
      </c>
      <c r="E56" s="5" t="n">
        <v>2424840</v>
      </c>
      <c r="F56" s="5" t="inlineStr"/>
      <c r="G56" s="5" t="inlineStr">
        <is>
          <t>Grandstream</t>
        </is>
      </c>
      <c r="H56" s="5">
        <f>HYPERLINK("https://itrix.uz/product/967", "🔗 Mahsulot sotib olish")</f>
        <v/>
      </c>
      <c r="I56" t="inlineStr">
        <is>
          <t>4-967-856</t>
        </is>
      </c>
    </row>
    <row r="57" ht="30" customHeight="1">
      <c r="A57" s="4" t="inlineStr">
        <is>
          <t>Switchlar</t>
        </is>
      </c>
      <c r="B57" s="4" t="inlineStr">
        <is>
          <t xml:space="preserve"> 2-darajali boshqariladigan kommutator SNR-S2985G-24TC</t>
        </is>
      </c>
      <c r="C57" s="5" t="inlineStr"/>
      <c r="D57" s="5" t="n">
        <v>3008544</v>
      </c>
      <c r="E57" s="5" t="n">
        <v>2686200</v>
      </c>
      <c r="F57" s="5" t="inlineStr"/>
      <c r="G57" s="5" t="inlineStr">
        <is>
          <t>SNR</t>
        </is>
      </c>
      <c r="H57" s="5">
        <f>HYPERLINK("https://itrix.uz/product/426", "🔗 Mahsulot sotib olish")</f>
        <v/>
      </c>
      <c r="I57" t="inlineStr">
        <is>
          <t>4-426-410</t>
        </is>
      </c>
    </row>
    <row r="58" ht="30" customHeight="1">
      <c r="A58" s="4" t="inlineStr">
        <is>
          <t>Tarmoqqa biriktirilgan xotira (NAS) va ma'lumotlarni saqlash tizimlari (DSS)</t>
        </is>
      </c>
      <c r="B58" s="4" t="inlineStr">
        <is>
          <t>Tarmoqli saqlash qurilmasi (NAS) Synology DS920+</t>
        </is>
      </c>
      <c r="C58" s="5" t="inlineStr"/>
      <c r="D58" s="5" t="n">
        <v>10096240</v>
      </c>
      <c r="E58" s="5" t="n">
        <v>9014500</v>
      </c>
      <c r="F58" s="5" t="inlineStr"/>
      <c r="G58" s="5" t="inlineStr">
        <is>
          <t>Synology</t>
        </is>
      </c>
      <c r="H58" s="5">
        <f>HYPERLINK("https://itrix.uz/product/276", "🔗 Mahsulot sotib olish")</f>
        <v/>
      </c>
      <c r="I58" t="inlineStr">
        <is>
          <t>4-276-278</t>
        </is>
      </c>
    </row>
    <row r="59" ht="30" customHeight="1">
      <c r="A59" s="4" t="inlineStr">
        <is>
          <t>Switchlar</t>
        </is>
      </c>
      <c r="B59" s="4" t="inlineStr">
        <is>
          <t>H3C L2 S1850-52P 52 portli 48GE+4SFP tarmoq kommutatori</t>
        </is>
      </c>
      <c r="C59" s="5" t="inlineStr"/>
      <c r="D59" s="5" t="n">
        <v>5095552</v>
      </c>
      <c r="E59" s="5" t="n">
        <v>4549600</v>
      </c>
      <c r="F59" s="5" t="inlineStr"/>
      <c r="G59" s="5" t="inlineStr">
        <is>
          <t>H3C</t>
        </is>
      </c>
      <c r="H59" s="5">
        <f>HYPERLINK("https://itrix.uz/product/197", "🔗 Mahsulot sotib olish")</f>
        <v/>
      </c>
      <c r="I59" t="inlineStr">
        <is>
          <t>4-197-199</t>
        </is>
      </c>
    </row>
    <row r="60" ht="30" customHeight="1">
      <c r="A60" s="4" t="inlineStr">
        <is>
          <t>Tarmoq qurilmalari</t>
        </is>
      </c>
      <c r="B60" s="4" t="inlineStr">
        <is>
          <t>Ubiquiti ETH-SP-G2 chaqmoqdan himoya qurilmasi</t>
        </is>
      </c>
      <c r="C60" s="5" t="inlineStr"/>
      <c r="D60" s="5" t="n">
        <v>226860</v>
      </c>
      <c r="E60" s="5" t="n">
        <v>202554</v>
      </c>
      <c r="F60" s="5" t="n">
        <v>186945</v>
      </c>
      <c r="G60" s="5" t="inlineStr">
        <is>
          <t>UniFi UBIQUITI</t>
        </is>
      </c>
      <c r="H60" s="5">
        <f>HYPERLINK("https://itrix.uz/product/1346", "🔗 Mahsulot sotib olish")</f>
        <v/>
      </c>
      <c r="I60" t="inlineStr">
        <is>
          <t>4-1346-1046</t>
        </is>
      </c>
    </row>
    <row r="61" ht="30" customHeight="1">
      <c r="A61" s="4" t="inlineStr">
        <is>
          <t>Kopar patch kordlar</t>
        </is>
      </c>
      <c r="B61" s="4" t="inlineStr">
        <is>
          <t>Patch-kabel Cat 6, FTP, RJ45, 26AWG, 7/0.16 Cu, 2.00 m, LSZH, kulrang</t>
        </is>
      </c>
      <c r="C61" s="5" t="inlineStr"/>
      <c r="D61" s="5" t="n">
        <v>135520</v>
      </c>
      <c r="E61" s="5" t="n">
        <v>121000</v>
      </c>
      <c r="F61" s="5" t="inlineStr"/>
      <c r="G61" s="5" t="inlineStr">
        <is>
          <t>Intel</t>
        </is>
      </c>
      <c r="H61" s="5">
        <f>HYPERLINK("https://itrix.uz/product/261", "🔗 Mahsulot sotib olish")</f>
        <v/>
      </c>
      <c r="I61" t="inlineStr">
        <is>
          <t>4-261-262</t>
        </is>
      </c>
    </row>
    <row r="62" ht="30" customHeight="1">
      <c r="A62" s="4" t="inlineStr">
        <is>
          <t>Switchlar</t>
        </is>
      </c>
      <c r="B62" s="4" t="inlineStr">
        <is>
          <t>H3C L2 S5120V2-20P-LI 16 ta G va 4 ta SFP portli boshqariladigan tarmoq kommutatori</t>
        </is>
      </c>
      <c r="C62" s="5" t="inlineStr"/>
      <c r="D62" s="5" t="n">
        <v>2669744</v>
      </c>
      <c r="E62" s="5" t="n">
        <v>2383700</v>
      </c>
      <c r="F62" s="5" t="inlineStr"/>
      <c r="G62" s="5" t="inlineStr">
        <is>
          <t>H3C</t>
        </is>
      </c>
      <c r="H62" s="5">
        <f>HYPERLINK("https://itrix.uz/product/200", "🔗 Mahsulot sotib olish")</f>
        <v/>
      </c>
      <c r="I62" t="inlineStr">
        <is>
          <t>4-200-202</t>
        </is>
      </c>
    </row>
    <row r="63" ht="30" customHeight="1">
      <c r="A63" s="4" t="inlineStr">
        <is>
          <t>Switchlar</t>
        </is>
      </c>
      <c r="B63" s="4" t="inlineStr">
        <is>
          <t>H3C L2 S1850-28P-PWR 28 portli (24 ta GE + 4 ta SFP + PoE AC) boshqariladigan tarmoq kommutatori</t>
        </is>
      </c>
      <c r="C63" s="5" t="inlineStr"/>
      <c r="D63" s="5" t="n">
        <v>5624080</v>
      </c>
      <c r="E63" s="5" t="n">
        <v>5021500</v>
      </c>
      <c r="F63" s="5" t="inlineStr"/>
      <c r="G63" s="5" t="inlineStr">
        <is>
          <t>H3C</t>
        </is>
      </c>
      <c r="H63" s="5">
        <f>HYPERLINK("https://itrix.uz/product/206", "🔗 Mahsulot sotib olish")</f>
        <v/>
      </c>
      <c r="I63" t="inlineStr">
        <is>
          <t>4-206-208</t>
        </is>
      </c>
    </row>
    <row r="64">
      <c r="A64" s="4" t="inlineStr">
        <is>
          <t>Switchlar</t>
        </is>
      </c>
      <c r="B64" s="4" t="inlineStr">
        <is>
          <t>Zyxel GS1350-26HP boshqariladigan tarmoq kommutatori — 24 ta gigabit port, 2 ta SFP port va PoE funksiyasi bilan</t>
        </is>
      </c>
      <c r="C64" s="5" t="inlineStr"/>
      <c r="D64" s="5" t="n">
        <v>10638320</v>
      </c>
      <c r="E64" s="5" t="n">
        <v>9498500</v>
      </c>
      <c r="F64" s="5" t="inlineStr"/>
      <c r="G64" s="5" t="inlineStr">
        <is>
          <t>Zyxel</t>
        </is>
      </c>
      <c r="H64" s="5">
        <f>HYPERLINK("https://itrix.uz/product/224", "🔗 Mahsulot sotib olish")</f>
        <v/>
      </c>
      <c r="I64" t="inlineStr">
        <is>
          <t>4-224-226</t>
        </is>
      </c>
    </row>
    <row r="65" ht="30" customHeight="1">
      <c r="A65" s="4" t="inlineStr">
        <is>
          <t>Switchlar</t>
        </is>
      </c>
      <c r="B65" s="4" t="inlineStr">
        <is>
          <t xml:space="preserve"> 2-darajali boshqariladigan kommutator SNR-S2985G-48T</t>
        </is>
      </c>
      <c r="C65" s="5" t="inlineStr"/>
      <c r="D65" s="5" t="n">
        <v>6193806</v>
      </c>
      <c r="E65" s="5" t="n">
        <v>5530184</v>
      </c>
      <c r="F65" s="5" t="inlineStr"/>
      <c r="G65" s="5" t="inlineStr">
        <is>
          <t>SNR</t>
        </is>
      </c>
      <c r="H65" s="5">
        <f>HYPERLINK("https://itrix.uz/product/430", "🔗 Mahsulot sotib olish")</f>
        <v/>
      </c>
      <c r="I65" t="inlineStr">
        <is>
          <t>4-430-414</t>
        </is>
      </c>
    </row>
    <row r="66" ht="30" customHeight="1">
      <c r="A66" s="4" t="inlineStr">
        <is>
          <t>Switchlar</t>
        </is>
      </c>
      <c r="B66" s="4" t="inlineStr">
        <is>
          <t>Boshqariladigan kommutator Grandstream GWN7802</t>
        </is>
      </c>
      <c r="C66" s="5" t="inlineStr"/>
      <c r="D66" s="5" t="n">
        <v>2927232</v>
      </c>
      <c r="E66" s="5" t="n">
        <v>2613600</v>
      </c>
      <c r="F66" s="5" t="inlineStr"/>
      <c r="G66" s="5" t="inlineStr">
        <is>
          <t>Grandstream</t>
        </is>
      </c>
      <c r="H66" s="5">
        <f>HYPERLINK("https://itrix.uz/product/968", "🔗 Mahsulot sotib olish")</f>
        <v/>
      </c>
      <c r="I66" t="inlineStr">
        <is>
          <t>4-968-857</t>
        </is>
      </c>
    </row>
    <row r="67" ht="30" customHeight="1">
      <c r="A67" s="4" t="inlineStr">
        <is>
          <t>Tarmoqqa biriktirilgan xotira (NAS) va ma'lumotlarni saqlash tizimlari (DSS)</t>
        </is>
      </c>
      <c r="B67" s="4" t="inlineStr">
        <is>
          <t>Tarmoqli saqlash qurilmasi (NAS) Synology DS1821+</t>
        </is>
      </c>
      <c r="C67" s="5" t="inlineStr"/>
      <c r="D67" s="5" t="n">
        <v>18674656</v>
      </c>
      <c r="E67" s="5" t="n">
        <v>16673800</v>
      </c>
      <c r="F67" s="5" t="inlineStr"/>
      <c r="G67" s="5" t="inlineStr">
        <is>
          <t>Synology</t>
        </is>
      </c>
      <c r="H67" s="5">
        <f>HYPERLINK("https://itrix.uz/product/273", "🔗 Mahsulot sotib olish")</f>
        <v/>
      </c>
      <c r="I67" t="inlineStr">
        <is>
          <t>4-273-275</t>
        </is>
      </c>
    </row>
    <row r="68" ht="30" customHeight="1">
      <c r="A68" s="4" t="inlineStr">
        <is>
          <t>Tarmoqqa biriktirilgan xotira (NAS) va ma'lumotlarni saqlash tizimlari (DSS)</t>
        </is>
      </c>
      <c r="B68" s="4" t="inlineStr">
        <is>
          <t xml:space="preserve"> Tarmoqli saqlash qurilmasi (NAS) Synology RackStation RS2423+</t>
        </is>
      </c>
      <c r="C68" s="5" t="inlineStr"/>
      <c r="D68" s="5" t="n">
        <v>39449872</v>
      </c>
      <c r="E68" s="5" t="n">
        <v>35223100</v>
      </c>
      <c r="F68" s="5" t="inlineStr"/>
      <c r="G68" s="5" t="inlineStr">
        <is>
          <t>Synology</t>
        </is>
      </c>
      <c r="H68" s="5">
        <f>HYPERLINK("https://itrix.uz/product/279", "🔗 Mahsulot sotib olish")</f>
        <v/>
      </c>
      <c r="I68" t="inlineStr">
        <is>
          <t>4-279-281</t>
        </is>
      </c>
    </row>
    <row r="69" ht="30" customHeight="1">
      <c r="A69" s="4" t="inlineStr">
        <is>
          <t>Switchlar</t>
        </is>
      </c>
      <c r="B69" s="4" t="inlineStr">
        <is>
          <t xml:space="preserve"> 2-darajali boshqariladigan POE kommutator SNR-S2985G-8T-POE</t>
        </is>
      </c>
      <c r="C69" s="5" t="inlineStr"/>
      <c r="D69" s="5" t="n">
        <v>3401552</v>
      </c>
      <c r="E69" s="5" t="n">
        <v>3037100</v>
      </c>
      <c r="F69" s="5" t="inlineStr"/>
      <c r="G69" s="5" t="inlineStr">
        <is>
          <t>SNR</t>
        </is>
      </c>
      <c r="H69" s="5">
        <f>HYPERLINK("https://itrix.uz/product/472", "🔗 Mahsulot sotib olish")</f>
        <v/>
      </c>
      <c r="I69" t="inlineStr">
        <is>
          <t>4-472-456</t>
        </is>
      </c>
    </row>
    <row r="70" ht="30" customHeight="1">
      <c r="A70" s="4" t="inlineStr">
        <is>
          <t>Tarmoq qurilmalari</t>
        </is>
      </c>
      <c r="B70" s="4" t="inlineStr">
        <is>
          <t xml:space="preserve"> 2U gacha bo‘lgan stoykali qurilmalar uchun ray to‘plami</t>
        </is>
      </c>
      <c r="C70" s="5" t="inlineStr"/>
      <c r="D70" s="5" t="n">
        <v>677600</v>
      </c>
      <c r="E70" s="5" t="n">
        <v>605000</v>
      </c>
      <c r="F70" s="5" t="inlineStr"/>
      <c r="G70" s="5" t="inlineStr"/>
      <c r="H70" s="5">
        <f>HYPERLINK("https://itrix.uz/product/282", "🔗 Mahsulot sotib olish")</f>
        <v/>
      </c>
      <c r="I70" t="inlineStr">
        <is>
          <t>4-282-284</t>
        </is>
      </c>
    </row>
    <row r="71" ht="30" customHeight="1">
      <c r="A71" s="4" t="inlineStr">
        <is>
          <t>Switchlar</t>
        </is>
      </c>
      <c r="B71" s="4" t="inlineStr">
        <is>
          <t>Boshqariladigan kommutator Grandstream GWN7802P</t>
        </is>
      </c>
      <c r="C71" s="5" t="inlineStr"/>
      <c r="D71" s="5" t="n">
        <v>4537210</v>
      </c>
      <c r="E71" s="5" t="n">
        <v>4051080</v>
      </c>
      <c r="F71" s="5" t="inlineStr"/>
      <c r="G71" s="5" t="inlineStr">
        <is>
          <t>Grandstream</t>
        </is>
      </c>
      <c r="H71" s="5">
        <f>HYPERLINK("https://itrix.uz/product/969", "🔗 Mahsulot sotib olish")</f>
        <v/>
      </c>
      <c r="I71" t="inlineStr">
        <is>
          <t>4-969-858</t>
        </is>
      </c>
    </row>
    <row r="72">
      <c r="A72" s="4" t="inlineStr">
        <is>
          <t>Switchlar</t>
        </is>
      </c>
      <c r="B72" s="4" t="inlineStr">
        <is>
          <t>H3C L3 S5560S-52F-EI 48 ta Gbit SFP, 2 ta GE Combo port va 4 ta 1G/10G SFP+ portli boshqariladigan uchinchi darajali tarmoq kommutatori</t>
        </is>
      </c>
      <c r="C72" s="5" t="inlineStr"/>
      <c r="D72" s="5" t="n">
        <v>11383680</v>
      </c>
      <c r="E72" s="5" t="n">
        <v>10164000</v>
      </c>
      <c r="F72" s="5" t="inlineStr"/>
      <c r="G72" s="5" t="inlineStr">
        <is>
          <t>H3C</t>
        </is>
      </c>
      <c r="H72" s="5">
        <f>HYPERLINK("https://itrix.uz/product/207", "🔗 Mahsulot sotib olish")</f>
        <v/>
      </c>
      <c r="I72" t="inlineStr">
        <is>
          <t>4-207-209</t>
        </is>
      </c>
    </row>
    <row r="73" ht="30" customHeight="1">
      <c r="A73" s="4" t="inlineStr">
        <is>
          <t>Switchlar</t>
        </is>
      </c>
      <c r="B73" s="4" t="inlineStr">
        <is>
          <t>Boshqariladigan kommutator Grandstream GWN7803</t>
        </is>
      </c>
      <c r="C73" s="5" t="inlineStr"/>
      <c r="D73" s="5" t="n">
        <v>3447629</v>
      </c>
      <c r="E73" s="5" t="n">
        <v>3078240</v>
      </c>
      <c r="F73" s="5" t="inlineStr"/>
      <c r="G73" s="5" t="inlineStr">
        <is>
          <t>Grandstream</t>
        </is>
      </c>
      <c r="H73" s="5">
        <f>HYPERLINK("https://itrix.uz/product/970", "🔗 Mahsulot sotib olish")</f>
        <v/>
      </c>
      <c r="I73" t="inlineStr">
        <is>
          <t>4-970-859</t>
        </is>
      </c>
    </row>
    <row r="74" ht="30" customHeight="1">
      <c r="A74" s="4" t="inlineStr">
        <is>
          <t>Switchlar</t>
        </is>
      </c>
      <c r="B74" s="4" t="inlineStr">
        <is>
          <t>H3C L2 S1850V2-10P-EI 8 ta GE va 2 ta SFP portli boshqariladigan tarmoq kommutatori</t>
        </is>
      </c>
      <c r="C74" s="5" t="inlineStr"/>
      <c r="D74" s="5" t="n">
        <v>2236080</v>
      </c>
      <c r="E74" s="5" t="n">
        <v>1996500</v>
      </c>
      <c r="F74" s="5" t="inlineStr"/>
      <c r="G74" s="5" t="inlineStr">
        <is>
          <t>H3C</t>
        </is>
      </c>
      <c r="H74" s="5">
        <f>HYPERLINK("https://itrix.uz/product/198", "🔗 Mahsulot sotib olish")</f>
        <v/>
      </c>
      <c r="I74" t="inlineStr">
        <is>
          <t>4-198-200</t>
        </is>
      </c>
    </row>
    <row r="75" ht="30" customHeight="1">
      <c r="A75" s="4" t="inlineStr">
        <is>
          <t>Switchlar</t>
        </is>
      </c>
      <c r="B75" s="4" t="inlineStr">
        <is>
          <t xml:space="preserve"> 3-darajali boshqariladigan kommutator SNR-S3850G-24TX</t>
        </is>
      </c>
      <c r="C75" s="5" t="inlineStr"/>
      <c r="D75" s="5" t="n">
        <v>14094080</v>
      </c>
      <c r="E75" s="5" t="n">
        <v>12584000</v>
      </c>
      <c r="F75" s="5" t="inlineStr"/>
      <c r="G75" s="5" t="inlineStr">
        <is>
          <t>SNR</t>
        </is>
      </c>
      <c r="H75" s="5">
        <f>HYPERLINK("https://itrix.uz/product/453", "🔗 Mahsulot sotib olish")</f>
        <v/>
      </c>
      <c r="I75" t="inlineStr">
        <is>
          <t>4-453-437</t>
        </is>
      </c>
    </row>
    <row r="76" ht="30" customHeight="1">
      <c r="A76" s="4" t="inlineStr">
        <is>
          <t>Switchlar</t>
        </is>
      </c>
      <c r="B76" s="4" t="inlineStr">
        <is>
          <t>UniFi Switch Pro 48 PoE USW-Pro-48-POE boshqariladigan tarmoq kommutatori</t>
        </is>
      </c>
      <c r="C76" s="5" t="inlineStr"/>
      <c r="D76" s="5" t="n">
        <v>18246955</v>
      </c>
      <c r="E76" s="5" t="n">
        <v>16291924</v>
      </c>
      <c r="F76" s="5" t="n">
        <v>15038727</v>
      </c>
      <c r="G76" s="5" t="inlineStr">
        <is>
          <t>UniFi UBIQUITI</t>
        </is>
      </c>
      <c r="H76" s="5">
        <f>HYPERLINK("https://itrix.uz/product/195", "🔗 Mahsulot sotib olish")</f>
        <v/>
      </c>
      <c r="I76" t="inlineStr">
        <is>
          <t>4-195-197</t>
        </is>
      </c>
    </row>
    <row r="77" ht="30" customHeight="1">
      <c r="A77" s="4" t="inlineStr">
        <is>
          <t>Switchlar</t>
        </is>
      </c>
      <c r="B77" s="4" t="inlineStr">
        <is>
          <t xml:space="preserve"> 2-darajali boshqariladigan POE kommutator SNR-S2982G-24T-POE</t>
        </is>
      </c>
      <c r="C77" s="5" t="inlineStr"/>
      <c r="D77" s="5" t="n">
        <v>6884823</v>
      </c>
      <c r="E77" s="5" t="n">
        <v>6147163</v>
      </c>
      <c r="F77" s="5" t="n">
        <v>5488560</v>
      </c>
      <c r="G77" s="5" t="inlineStr">
        <is>
          <t>SNR</t>
        </is>
      </c>
      <c r="H77" s="5">
        <f>HYPERLINK("https://itrix.uz/product/473", "🔗 Mahsulot sotib olish")</f>
        <v/>
      </c>
      <c r="I77" t="inlineStr">
        <is>
          <t>4-473-457</t>
        </is>
      </c>
    </row>
    <row r="78" ht="30" customHeight="1">
      <c r="A78" s="4" t="inlineStr">
        <is>
          <t>Switchlar</t>
        </is>
      </c>
      <c r="B78" s="4" t="inlineStr">
        <is>
          <t xml:space="preserve"> 3-darajali boshqariladigan kommutator SNR-S4350X-24FC</t>
        </is>
      </c>
      <c r="C78" s="5" t="inlineStr"/>
      <c r="D78" s="5" t="n">
        <v>72909760</v>
      </c>
      <c r="E78" s="5" t="n">
        <v>65098000</v>
      </c>
      <c r="F78" s="5" t="inlineStr"/>
      <c r="G78" s="5" t="inlineStr">
        <is>
          <t>SNR</t>
        </is>
      </c>
      <c r="H78" s="5">
        <f>HYPERLINK("https://itrix.uz/product/456", "🔗 Mahsulot sotib olish")</f>
        <v/>
      </c>
      <c r="I78" t="inlineStr">
        <is>
          <t>4-456-440</t>
        </is>
      </c>
    </row>
    <row r="79" ht="30" customHeight="1">
      <c r="A79" s="4" t="inlineStr">
        <is>
          <t>Kopar patch kordlar</t>
        </is>
      </c>
      <c r="B79" s="4" t="inlineStr">
        <is>
          <t>Patch-kabel Cat 5e, FTP, RJ45, 26AWG, 7/0.16 Cu, 5.00 m, LSZH, kulrang</t>
        </is>
      </c>
      <c r="C79" s="5" t="inlineStr"/>
      <c r="D79" s="5" t="n">
        <v>135520</v>
      </c>
      <c r="E79" s="5" t="n">
        <v>121000</v>
      </c>
      <c r="F79" s="5" t="inlineStr"/>
      <c r="G79" s="5" t="inlineStr">
        <is>
          <t>Intel</t>
        </is>
      </c>
      <c r="H79" s="5">
        <f>HYPERLINK("https://itrix.uz/product/259", "🔗 Mahsulot sotib olish")</f>
        <v/>
      </c>
      <c r="I79" t="inlineStr">
        <is>
          <t>4-259-260</t>
        </is>
      </c>
    </row>
    <row r="80" ht="30" customHeight="1">
      <c r="A80" s="4" t="inlineStr">
        <is>
          <t>Switchlar</t>
        </is>
      </c>
      <c r="B80" s="4" t="inlineStr">
        <is>
          <t xml:space="preserve"> 3-darajali boshqariladigan kommutator SNR-S3850G-24FX</t>
        </is>
      </c>
      <c r="C80" s="5" t="inlineStr"/>
      <c r="D80" s="5" t="n">
        <v>11858000</v>
      </c>
      <c r="E80" s="5" t="n">
        <v>10587500</v>
      </c>
      <c r="F80" s="5" t="inlineStr"/>
      <c r="G80" s="5" t="inlineStr">
        <is>
          <t>SNR</t>
        </is>
      </c>
      <c r="H80" s="5">
        <f>HYPERLINK("https://itrix.uz/product/460", "🔗 Mahsulot sotib olish")</f>
        <v/>
      </c>
      <c r="I80" t="inlineStr">
        <is>
          <t>4-460-444</t>
        </is>
      </c>
    </row>
    <row r="81" ht="30" customHeight="1">
      <c r="A81" s="4" t="inlineStr">
        <is>
          <t>Kopar patch kordlar</t>
        </is>
      </c>
      <c r="B81" s="4" t="inlineStr">
        <is>
          <t>Patch-kabel Cat 6, FTP, RJ45, 26AWG, 7/0.16 Cu, 3.00 m, LSZH, kulrang</t>
        </is>
      </c>
      <c r="C81" s="5" t="inlineStr"/>
      <c r="D81" s="5" t="n">
        <v>135520</v>
      </c>
      <c r="E81" s="5" t="n">
        <v>121000</v>
      </c>
      <c r="F81" s="5" t="inlineStr"/>
      <c r="G81" s="5" t="inlineStr">
        <is>
          <t>Intel</t>
        </is>
      </c>
      <c r="H81" s="5">
        <f>HYPERLINK("https://itrix.uz/product/262", "🔗 Mahsulot sotib olish")</f>
        <v/>
      </c>
      <c r="I81" t="inlineStr">
        <is>
          <t>4-262-263</t>
        </is>
      </c>
    </row>
    <row r="82" ht="30" customHeight="1">
      <c r="A82" s="4" t="inlineStr">
        <is>
          <t>Switchlar</t>
        </is>
      </c>
      <c r="B82" s="4" t="inlineStr">
        <is>
          <t xml:space="preserve"> 2-darajali boshqariladigan kommutator SNR-S2990X-24FQ-2AC</t>
        </is>
      </c>
      <c r="C82" s="5" t="inlineStr"/>
      <c r="D82" s="5" t="n">
        <v>44613184</v>
      </c>
      <c r="E82" s="5" t="n">
        <v>39833200</v>
      </c>
      <c r="F82" s="5" t="inlineStr"/>
      <c r="G82" s="5" t="inlineStr">
        <is>
          <t>SNR</t>
        </is>
      </c>
      <c r="H82" s="5">
        <f>HYPERLINK("https://itrix.uz/product/464", "🔗 Mahsulot sotib olish")</f>
        <v/>
      </c>
      <c r="I82" t="inlineStr">
        <is>
          <t>4-464-448</t>
        </is>
      </c>
    </row>
    <row r="83" ht="30" customHeight="1">
      <c r="A83" s="4" t="inlineStr">
        <is>
          <t>Switchlar</t>
        </is>
      </c>
      <c r="B83" s="4" t="inlineStr">
        <is>
          <t xml:space="preserve"> 3-darajali boshqariladigan kommutator SNR-S7550Y-48C</t>
        </is>
      </c>
      <c r="C83" s="5" t="inlineStr"/>
      <c r="D83" s="5" t="n">
        <v>198672320</v>
      </c>
      <c r="E83" s="5" t="n">
        <v>177386000</v>
      </c>
      <c r="F83" s="5" t="inlineStr"/>
      <c r="G83" s="5" t="inlineStr">
        <is>
          <t>SNR</t>
        </is>
      </c>
      <c r="H83" s="5">
        <f>HYPERLINK("https://itrix.uz/product/468", "🔗 Mahsulot sotib olish")</f>
        <v/>
      </c>
      <c r="I83" t="inlineStr">
        <is>
          <t>4-468-452</t>
        </is>
      </c>
    </row>
    <row r="84">
      <c r="A84" s="4" t="inlineStr">
        <is>
          <t>Switchlar</t>
        </is>
      </c>
      <c r="B84" s="4" t="inlineStr">
        <is>
          <t>H3C S5560S-52S-SI boshqariladigan tarmoq kommutatori — 48 ta Gbit port va 4 ta 1G/10G SFP+ port bilan</t>
        </is>
      </c>
      <c r="C84" s="5" t="inlineStr"/>
      <c r="D84" s="5" t="n">
        <v>8320928</v>
      </c>
      <c r="E84" s="5" t="n">
        <v>7429400</v>
      </c>
      <c r="F84" s="5" t="inlineStr"/>
      <c r="G84" s="5" t="inlineStr">
        <is>
          <t>H3C</t>
        </is>
      </c>
      <c r="H84" s="5">
        <f>HYPERLINK("https://itrix.uz/product/214", "🔗 Mahsulot sotib olish")</f>
        <v/>
      </c>
      <c r="I84" t="inlineStr">
        <is>
          <t>4-214-216</t>
        </is>
      </c>
    </row>
    <row r="85" ht="30" customHeight="1">
      <c r="A85" s="4" t="inlineStr">
        <is>
          <t>Switchlar</t>
        </is>
      </c>
      <c r="B85" s="4" t="inlineStr">
        <is>
          <t>Boshqariladigan kommutator HPE Aruba 2930F JL256A 48G PoE+ 4SFP+</t>
        </is>
      </c>
      <c r="C85" s="5" t="inlineStr"/>
      <c r="D85" s="5" t="n">
        <v>36509088</v>
      </c>
      <c r="E85" s="5" t="n">
        <v>32597400</v>
      </c>
      <c r="F85" s="5" t="inlineStr"/>
      <c r="G85" s="5" t="inlineStr">
        <is>
          <t>HPE</t>
        </is>
      </c>
      <c r="H85" s="5">
        <f>HYPERLINK("https://itrix.uz/product/161", "🔗 Mahsulot sotib olish")</f>
        <v/>
      </c>
      <c r="I85" t="inlineStr">
        <is>
          <t>4-161-165</t>
        </is>
      </c>
    </row>
    <row r="86" ht="30" customHeight="1">
      <c r="A86" s="4" t="inlineStr">
        <is>
          <t>Switchlar</t>
        </is>
      </c>
      <c r="B86" s="4" t="inlineStr">
        <is>
          <t xml:space="preserve"> 2-darajali boshqariladigan POE kommutator SNR-S2200G-8T-POE</t>
        </is>
      </c>
      <c r="C86" s="5" t="inlineStr"/>
      <c r="D86" s="5" t="n">
        <v>2503868</v>
      </c>
      <c r="E86" s="5" t="n">
        <v>2235596</v>
      </c>
      <c r="F86" s="5" t="inlineStr"/>
      <c r="G86" s="5" t="inlineStr">
        <is>
          <t>SNR</t>
        </is>
      </c>
      <c r="H86" s="5">
        <f>HYPERLINK("https://itrix.uz/product/471", "🔗 Mahsulot sotib olish")</f>
        <v/>
      </c>
      <c r="I86" t="inlineStr">
        <is>
          <t>4-471-455</t>
        </is>
      </c>
    </row>
    <row r="87" ht="30" customHeight="1">
      <c r="A87" s="4" t="inlineStr">
        <is>
          <t>Switchlar</t>
        </is>
      </c>
      <c r="B87" s="4" t="inlineStr">
        <is>
          <t xml:space="preserve"> 2+ darajali boshqariladigan PoE kommutator SNR-S5210G-24TX-POE</t>
        </is>
      </c>
      <c r="C87" s="5" t="inlineStr"/>
      <c r="D87" s="5" t="n">
        <v>6852704</v>
      </c>
      <c r="E87" s="5" t="n">
        <v>6118486</v>
      </c>
      <c r="F87" s="5" t="inlineStr"/>
      <c r="G87" s="5" t="inlineStr">
        <is>
          <t>SNR</t>
        </is>
      </c>
      <c r="H87" s="5">
        <f>HYPERLINK("https://itrix.uz/product/475", "🔗 Mahsulot sotib olish")</f>
        <v/>
      </c>
      <c r="I87" t="inlineStr">
        <is>
          <t>4-475-459</t>
        </is>
      </c>
    </row>
    <row r="88" ht="30" customHeight="1">
      <c r="A88" s="4" t="inlineStr">
        <is>
          <t>Switchlar</t>
        </is>
      </c>
      <c r="B88" s="4" t="inlineStr">
        <is>
          <t>3-darajali boshqariladigan PoE kommutator SNR-S2995G-48TX-POE-POE</t>
        </is>
      </c>
      <c r="C88" s="5" t="inlineStr"/>
      <c r="D88" s="5" t="n">
        <v>23509196</v>
      </c>
      <c r="E88" s="5" t="n">
        <v>20990354</v>
      </c>
      <c r="F88" s="5" t="n">
        <v>19617125</v>
      </c>
      <c r="G88" s="5" t="inlineStr">
        <is>
          <t>SNR</t>
        </is>
      </c>
      <c r="H88" s="5">
        <f>HYPERLINK("https://itrix.uz/product/480", "🔗 Mahsulot sotib olish")</f>
        <v/>
      </c>
      <c r="I88" t="inlineStr">
        <is>
          <t>4-480-464</t>
        </is>
      </c>
    </row>
    <row r="89" ht="30" customHeight="1">
      <c r="A89" s="4" t="inlineStr">
        <is>
          <t>Switchlar</t>
        </is>
      </c>
      <c r="B89" s="4" t="inlineStr">
        <is>
          <t xml:space="preserve"> 2+ darajali boshqariladigan PoE kommutator SNR-S5310G-48TX-POE</t>
        </is>
      </c>
      <c r="C89" s="5" t="inlineStr"/>
      <c r="D89" s="5" t="n">
        <v>13836592</v>
      </c>
      <c r="E89" s="5" t="n">
        <v>12354100</v>
      </c>
      <c r="F89" s="5" t="inlineStr"/>
      <c r="G89" s="5" t="inlineStr">
        <is>
          <t>SNR</t>
        </is>
      </c>
      <c r="H89" s="5">
        <f>HYPERLINK("https://itrix.uz/product/481", "🔗 Mahsulot sotib olish")</f>
        <v/>
      </c>
      <c r="I89" t="inlineStr">
        <is>
          <t>4-481-465</t>
        </is>
      </c>
    </row>
    <row r="90" ht="30" customHeight="1">
      <c r="A90" s="4" t="inlineStr">
        <is>
          <t>Switchlar</t>
        </is>
      </c>
      <c r="B90" s="4" t="inlineStr">
        <is>
          <t>Коммутатор Zyxel GS-105B V3 5G Switch</t>
        </is>
      </c>
      <c r="C90" s="5" t="inlineStr"/>
      <c r="D90" s="5" t="n">
        <v>555632</v>
      </c>
      <c r="E90" s="5" t="n">
        <v>496100</v>
      </c>
      <c r="F90" s="5" t="inlineStr"/>
      <c r="G90" s="5" t="inlineStr">
        <is>
          <t>Zyxel</t>
        </is>
      </c>
      <c r="H90" s="5">
        <f>HYPERLINK("https://itrix.uz/product/219", "🔗 Mahsulot sotib olish")</f>
        <v/>
      </c>
      <c r="I90" t="inlineStr">
        <is>
          <t>4-219-221</t>
        </is>
      </c>
    </row>
    <row r="91" ht="30" customHeight="1">
      <c r="A91" s="4" t="inlineStr">
        <is>
          <t>Switchlar</t>
        </is>
      </c>
      <c r="B91" s="4" t="inlineStr">
        <is>
          <t xml:space="preserve"> 2-darajali boshqariladigan PoE kommutator SNR-S2989G-24TX-POE</t>
        </is>
      </c>
      <c r="C91" s="5" t="inlineStr"/>
      <c r="D91" s="5" t="n">
        <v>8961260</v>
      </c>
      <c r="E91" s="5" t="n">
        <v>8001125</v>
      </c>
      <c r="F91" s="5" t="inlineStr"/>
      <c r="G91" s="5" t="inlineStr">
        <is>
          <t>SNR</t>
        </is>
      </c>
      <c r="H91" s="5">
        <f>HYPERLINK("https://itrix.uz/product/476", "🔗 Mahsulot sotib olish")</f>
        <v/>
      </c>
      <c r="I91" t="inlineStr">
        <is>
          <t>4-476-460</t>
        </is>
      </c>
    </row>
    <row r="92" ht="30" customHeight="1">
      <c r="A92" s="4" t="inlineStr">
        <is>
          <t>Switchlar</t>
        </is>
      </c>
      <c r="B92" s="4" t="inlineStr">
        <is>
          <t xml:space="preserve"> 2-darajali boshqariladigan PoE kommutator SNR-S2989G-48TX-POE</t>
        </is>
      </c>
      <c r="C92" s="5" t="inlineStr"/>
      <c r="D92" s="5" t="n">
        <v>16465680</v>
      </c>
      <c r="E92" s="5" t="n">
        <v>14701500</v>
      </c>
      <c r="F92" s="5" t="inlineStr"/>
      <c r="G92" s="5" t="inlineStr">
        <is>
          <t>SNR</t>
        </is>
      </c>
      <c r="H92" s="5">
        <f>HYPERLINK("https://itrix.uz/product/479", "🔗 Mahsulot sotib olish")</f>
        <v/>
      </c>
      <c r="I92" t="inlineStr">
        <is>
          <t>4-479-463</t>
        </is>
      </c>
    </row>
    <row r="93" ht="30" customHeight="1">
      <c r="A93" s="4" t="inlineStr">
        <is>
          <t>Switchlar</t>
        </is>
      </c>
      <c r="B93" s="4" t="inlineStr">
        <is>
          <t>Dell Connectrix B-Series G720 kommutatori (SAN tarmoq uchun)</t>
        </is>
      </c>
      <c r="C93" s="5" t="inlineStr"/>
      <c r="D93" s="5" t="n">
        <v>10841600</v>
      </c>
      <c r="E93" s="5" t="n">
        <v>9680000</v>
      </c>
      <c r="F93" s="5" t="inlineStr"/>
      <c r="G93" s="5" t="inlineStr">
        <is>
          <t>Dell</t>
        </is>
      </c>
      <c r="H93" s="5">
        <f>HYPERLINK("https://itrix.uz/product/578", "🔗 Mahsulot sotib olish")</f>
        <v/>
      </c>
      <c r="I93" t="inlineStr">
        <is>
          <t>4-578-537</t>
        </is>
      </c>
    </row>
    <row r="94" ht="30" customHeight="1">
      <c r="A94" s="4" t="inlineStr">
        <is>
          <t>Switchlar</t>
        </is>
      </c>
      <c r="B94" s="4" t="inlineStr">
        <is>
          <t>Boshqariladigan kommutator HPE Aruba 6100 JL676A 48G 4SFP+</t>
        </is>
      </c>
      <c r="C94" s="5" t="inlineStr"/>
      <c r="D94" s="5" t="n">
        <v>47513312</v>
      </c>
      <c r="E94" s="5" t="n">
        <v>42422600</v>
      </c>
      <c r="F94" s="5" t="inlineStr"/>
      <c r="G94" s="5" t="inlineStr">
        <is>
          <t>HPE</t>
        </is>
      </c>
      <c r="H94" s="5">
        <f>HYPERLINK("https://itrix.uz/product/163", "🔗 Mahsulot sotib olish")</f>
        <v/>
      </c>
      <c r="I94" t="inlineStr">
        <is>
          <t>4-163-166</t>
        </is>
      </c>
    </row>
    <row r="95" ht="30" customHeight="1">
      <c r="A95" s="4" t="inlineStr">
        <is>
          <t>Tarmoqqa biriktirilgan xotira (NAS) va ma'lumotlarni saqlash tizimlari (DSS)</t>
        </is>
      </c>
      <c r="B95" s="4" t="inlineStr">
        <is>
          <t>Tarmoqli saqlash qurilmasi (NAS) Synology DS1621+</t>
        </is>
      </c>
      <c r="C95" s="5" t="inlineStr"/>
      <c r="D95" s="5" t="n">
        <v>17522736</v>
      </c>
      <c r="E95" s="5" t="n">
        <v>15645300</v>
      </c>
      <c r="F95" s="5" t="inlineStr"/>
      <c r="G95" s="5" t="inlineStr">
        <is>
          <t>Synology</t>
        </is>
      </c>
      <c r="H95" s="5">
        <f>HYPERLINK("https://itrix.uz/product/268", "🔗 Mahsulot sotib olish")</f>
        <v/>
      </c>
      <c r="I95" t="inlineStr">
        <is>
          <t>4-268-270</t>
        </is>
      </c>
    </row>
    <row r="96" ht="30" customHeight="1">
      <c r="A96" s="4" t="inlineStr">
        <is>
          <t>Switchlar</t>
        </is>
      </c>
      <c r="B96" s="4" t="inlineStr">
        <is>
          <t xml:space="preserve"> L2+ darajali boshqariladigan kommutator Ruijie Reyee RG-NBS5100-24GT4SFP</t>
        </is>
      </c>
      <c r="C96" s="5" t="inlineStr"/>
      <c r="D96" s="5" t="n">
        <v>4390848</v>
      </c>
      <c r="E96" s="5" t="n">
        <v>3920400</v>
      </c>
      <c r="F96" s="5" t="inlineStr"/>
      <c r="G96" s="5" t="inlineStr">
        <is>
          <t>Reyee</t>
        </is>
      </c>
      <c r="H96" s="5">
        <f>HYPERLINK("https://itrix.uz/product/492", "🔗 Mahsulot sotib olish")</f>
        <v/>
      </c>
      <c r="I96" t="inlineStr">
        <is>
          <t>4-492-476</t>
        </is>
      </c>
    </row>
    <row r="97" ht="30" customHeight="1">
      <c r="A97" s="4" t="inlineStr">
        <is>
          <t>Switchlar</t>
        </is>
      </c>
      <c r="B97" s="4" t="inlineStr">
        <is>
          <t xml:space="preserve"> L2+ darajali boshqariladigan kommutator Ruijie Reyee RG-NBS5200-48GT4XS</t>
        </is>
      </c>
      <c r="C97" s="5" t="inlineStr"/>
      <c r="D97" s="5" t="n">
        <v>9188256</v>
      </c>
      <c r="E97" s="5" t="n">
        <v>8203800</v>
      </c>
      <c r="F97" s="5" t="inlineStr"/>
      <c r="G97" s="5" t="inlineStr">
        <is>
          <t>Reyee</t>
        </is>
      </c>
      <c r="H97" s="5">
        <f>HYPERLINK("https://itrix.uz/product/494", "🔗 Mahsulot sotib olish")</f>
        <v/>
      </c>
      <c r="I97" t="inlineStr">
        <is>
          <t>4-494-478</t>
        </is>
      </c>
    </row>
    <row r="98">
      <c r="A98" s="4" t="inlineStr">
        <is>
          <t>Switchlar</t>
        </is>
      </c>
      <c r="B98" s="4" t="inlineStr">
        <is>
          <t>H3C L3 S6520X-26C-SI boshqariladigan darajadagi 3-tarmoq kommutatori — 24 ta 1G/10G SFP+ port va 1 ta modul sloti bilan</t>
        </is>
      </c>
      <c r="C98" s="5" t="inlineStr"/>
      <c r="D98" s="5" t="n">
        <v>21832272</v>
      </c>
      <c r="E98" s="5" t="n">
        <v>19493100</v>
      </c>
      <c r="F98" s="5" t="inlineStr"/>
      <c r="G98" s="5" t="inlineStr">
        <is>
          <t>H3C</t>
        </is>
      </c>
      <c r="H98" s="5">
        <f>HYPERLINK("https://itrix.uz/product/215", "🔗 Mahsulot sotib olish")</f>
        <v/>
      </c>
      <c r="I98" t="inlineStr">
        <is>
          <t>4-215-217</t>
        </is>
      </c>
    </row>
    <row r="99" ht="30" customHeight="1">
      <c r="A99" s="4" t="inlineStr">
        <is>
          <t>Switchlar</t>
        </is>
      </c>
      <c r="B99" s="4" t="inlineStr">
        <is>
          <t>Ubiquiti UniFi Switch Enterprise 8 PoE kommutatori (USW-Enterprise-8-PoE)</t>
        </is>
      </c>
      <c r="C99" s="5" t="inlineStr"/>
      <c r="D99" s="5" t="n">
        <v>8165758</v>
      </c>
      <c r="E99" s="5" t="n">
        <v>7290855</v>
      </c>
      <c r="F99" s="5" t="n">
        <v>6730020</v>
      </c>
      <c r="G99" s="5" t="inlineStr">
        <is>
          <t>UniFi UBIQUITI</t>
        </is>
      </c>
      <c r="H99" s="5">
        <f>HYPERLINK("https://itrix.uz/product/1425", "🔗 Mahsulot sotib olish")</f>
        <v/>
      </c>
      <c r="I99" t="inlineStr">
        <is>
          <t>4-1425-1125</t>
        </is>
      </c>
    </row>
    <row r="100" ht="30" customHeight="1">
      <c r="A100" s="4" t="inlineStr">
        <is>
          <t>Switchlar</t>
        </is>
      </c>
      <c r="B100" s="4" t="inlineStr">
        <is>
          <t>HPE Aruba IOn 1960 JL807A 24G PoE 2XGT 2SFP+ 370W kommutatori</t>
        </is>
      </c>
      <c r="C100" s="5" t="inlineStr"/>
      <c r="D100" s="5" t="n">
        <v>20029856</v>
      </c>
      <c r="E100" s="5" t="n">
        <v>17883800</v>
      </c>
      <c r="F100" s="5" t="inlineStr"/>
      <c r="G100" s="5" t="inlineStr">
        <is>
          <t>HPE</t>
        </is>
      </c>
      <c r="H100" s="5">
        <f>HYPERLINK("https://itrix.uz/product/166", "🔗 Mahsulot sotib olish")</f>
        <v/>
      </c>
      <c r="I100" t="inlineStr">
        <is>
          <t>4-166-168</t>
        </is>
      </c>
    </row>
    <row r="101" ht="30" customHeight="1">
      <c r="A101" s="4" t="inlineStr">
        <is>
          <t>Switchlar</t>
        </is>
      </c>
      <c r="B101" s="4" t="inlineStr">
        <is>
          <t xml:space="preserve">  Boshqarilmaydigan POE kommutator SNR-S1904GP-2S</t>
        </is>
      </c>
      <c r="C101" s="5" t="inlineStr"/>
      <c r="D101" s="5" t="n">
        <v>1449522</v>
      </c>
      <c r="E101" s="5" t="n">
        <v>1294216</v>
      </c>
      <c r="F101" s="5" t="inlineStr"/>
      <c r="G101" s="5" t="inlineStr">
        <is>
          <t>SNR</t>
        </is>
      </c>
      <c r="H101" s="5">
        <f>HYPERLINK("https://itrix.uz/product/482", "🔗 Mahsulot sotib olish")</f>
        <v/>
      </c>
      <c r="I101" t="inlineStr">
        <is>
          <t>4-482-466</t>
        </is>
      </c>
    </row>
    <row r="102" ht="30" customHeight="1">
      <c r="A102" s="4" t="inlineStr">
        <is>
          <t>Switchlar</t>
        </is>
      </c>
      <c r="B102" s="4" t="inlineStr">
        <is>
          <t>Boshqariladigan kommutator Grandstream GWN7803P</t>
        </is>
      </c>
      <c r="C102" s="5" t="inlineStr"/>
      <c r="D102" s="5" t="n">
        <v>5203968</v>
      </c>
      <c r="E102" s="5" t="n">
        <v>4646400</v>
      </c>
      <c r="F102" s="5" t="inlineStr"/>
      <c r="G102" s="5" t="inlineStr">
        <is>
          <t>Grandstream</t>
        </is>
      </c>
      <c r="H102" s="5">
        <f>HYPERLINK("https://itrix.uz/product/971", "🔗 Mahsulot sotib olish")</f>
        <v/>
      </c>
      <c r="I102" t="inlineStr">
        <is>
          <t>4-971-860</t>
        </is>
      </c>
    </row>
    <row r="103" ht="30" customHeight="1">
      <c r="A103" s="4" t="inlineStr">
        <is>
          <t>Tarmoq qurilmalari</t>
        </is>
      </c>
      <c r="B103" s="4" t="inlineStr">
        <is>
          <t>Ubiquiti LiteBeam 5AC Gen 2 (LBE-5AC-Gen2) radiomost</t>
        </is>
      </c>
      <c r="C103" s="5" t="inlineStr"/>
      <c r="D103" s="5" t="n">
        <v>1033340</v>
      </c>
      <c r="E103" s="5" t="n">
        <v>922625</v>
      </c>
      <c r="F103" s="5" t="n">
        <v>851598</v>
      </c>
      <c r="G103" s="5" t="inlineStr">
        <is>
          <t>UniFi UBIQUITI</t>
        </is>
      </c>
      <c r="H103" s="5">
        <f>HYPERLINK("https://itrix.uz/product/1348", "🔗 Mahsulot sotib olish")</f>
        <v/>
      </c>
      <c r="I103" t="inlineStr">
        <is>
          <t>4-1348-1048</t>
        </is>
      </c>
    </row>
    <row r="104" ht="30" customHeight="1">
      <c r="A104" s="4" t="inlineStr">
        <is>
          <t>Tarmoqqa biriktirilgan xotira (NAS) va ma'lumotlarni saqlash tizimlari (DSS)</t>
        </is>
      </c>
      <c r="B104" s="4" t="inlineStr">
        <is>
          <t>Tarmoqli saqlash qurilmasi (NAS) Synology DS923+</t>
        </is>
      </c>
      <c r="C104" s="5" t="inlineStr"/>
      <c r="D104" s="5" t="n">
        <v>10638320</v>
      </c>
      <c r="E104" s="5" t="n">
        <v>9498500</v>
      </c>
      <c r="F104" s="5" t="inlineStr"/>
      <c r="G104" s="5" t="inlineStr">
        <is>
          <t>Synology</t>
        </is>
      </c>
      <c r="H104" s="5">
        <f>HYPERLINK("https://itrix.uz/product/266", "🔗 Mahsulot sotib olish")</f>
        <v/>
      </c>
      <c r="I104" t="inlineStr">
        <is>
          <t>4-266-268</t>
        </is>
      </c>
    </row>
    <row r="105" ht="30" customHeight="1">
      <c r="A105" s="4" t="inlineStr">
        <is>
          <t>Switchlar</t>
        </is>
      </c>
      <c r="B105" s="4" t="inlineStr">
        <is>
          <t xml:space="preserve"> 2-darajali boshqariladigan kommutator SNR-S2985G-24T-UPS</t>
        </is>
      </c>
      <c r="C105" s="5" t="inlineStr"/>
      <c r="D105" s="5" t="n">
        <v>3821664</v>
      </c>
      <c r="E105" s="5" t="n">
        <v>3412200</v>
      </c>
      <c r="F105" s="5" t="inlineStr"/>
      <c r="G105" s="5" t="inlineStr">
        <is>
          <t>SNR</t>
        </is>
      </c>
      <c r="H105" s="5">
        <f>HYPERLINK("https://itrix.uz/product/429", "🔗 Mahsulot sotib olish")</f>
        <v/>
      </c>
      <c r="I105" t="inlineStr">
        <is>
          <t>4-429-413</t>
        </is>
      </c>
    </row>
    <row r="106" ht="30" customHeight="1">
      <c r="A106" s="4" t="inlineStr">
        <is>
          <t>Tarmoqqa biriktirilgan xotira (NAS) va ma'lumotlarni saqlash tizimlari (DSS)</t>
        </is>
      </c>
      <c r="B106" s="4" t="inlineStr">
        <is>
          <t xml:space="preserve"> Tarmoqli saqlash qurilmasi (NAS) Synology DS1019+</t>
        </is>
      </c>
      <c r="C106" s="5" t="inlineStr"/>
      <c r="D106" s="5" t="n">
        <v>13321616</v>
      </c>
      <c r="E106" s="5" t="n">
        <v>11894300</v>
      </c>
      <c r="F106" s="5" t="inlineStr"/>
      <c r="G106" s="5" t="inlineStr">
        <is>
          <t>Synology</t>
        </is>
      </c>
      <c r="H106" s="5">
        <f>HYPERLINK("https://itrix.uz/product/270", "🔗 Mahsulot sotib olish")</f>
        <v/>
      </c>
      <c r="I106" t="inlineStr">
        <is>
          <t>4-270-272</t>
        </is>
      </c>
    </row>
    <row r="107">
      <c r="A107" s="4" t="inlineStr">
        <is>
          <t>Switchlar</t>
        </is>
      </c>
      <c r="B107" s="4" t="inlineStr">
        <is>
          <t>H3C L3 S6520X-16XT-SI boshqariladigan 3-darajali tarmoq kommutatori — 14 ta 1G/2.5G/5G/10G port va 2 ta 1G/10G SFP+ port bilan</t>
        </is>
      </c>
      <c r="C107" s="5" t="inlineStr"/>
      <c r="D107" s="5" t="n">
        <v>20151824</v>
      </c>
      <c r="E107" s="5" t="n">
        <v>17992700</v>
      </c>
      <c r="F107" s="5" t="inlineStr"/>
      <c r="G107" s="5" t="inlineStr">
        <is>
          <t>H3C</t>
        </is>
      </c>
      <c r="H107" s="5">
        <f>HYPERLINK("https://itrix.uz/product/218", "🔗 Mahsulot sotib olish")</f>
        <v/>
      </c>
      <c r="I107" t="inlineStr">
        <is>
          <t>4-218-220</t>
        </is>
      </c>
    </row>
    <row r="108" ht="30" customHeight="1">
      <c r="A108" s="4" t="inlineStr">
        <is>
          <t>Switchlar</t>
        </is>
      </c>
      <c r="B108" s="4" t="inlineStr">
        <is>
          <t xml:space="preserve"> 2+ darajali boshqariladigan kommutator SNR-S2990-16X</t>
        </is>
      </c>
      <c r="C108" s="5" t="inlineStr"/>
      <c r="D108" s="5" t="n">
        <v>33558682</v>
      </c>
      <c r="E108" s="5" t="n">
        <v>29963109</v>
      </c>
      <c r="F108" s="5" t="inlineStr"/>
      <c r="G108" s="5" t="inlineStr">
        <is>
          <t>SNR</t>
        </is>
      </c>
      <c r="H108" s="5">
        <f>HYPERLINK("https://itrix.uz/product/436", "🔗 Mahsulot sotib olish")</f>
        <v/>
      </c>
      <c r="I108" t="inlineStr">
        <is>
          <t>4-436-420</t>
        </is>
      </c>
    </row>
    <row r="109" ht="30" customHeight="1">
      <c r="A109" s="4" t="inlineStr">
        <is>
          <t>Switchlar</t>
        </is>
      </c>
      <c r="B109" s="4" t="inlineStr">
        <is>
          <t>HPE Aruba IOn 1930 JL683B 24G 4SFP+ PoE 195W kommutatori</t>
        </is>
      </c>
      <c r="C109" s="5" t="inlineStr"/>
      <c r="D109" s="5" t="n">
        <v>8171856</v>
      </c>
      <c r="E109" s="5" t="n">
        <v>7296300</v>
      </c>
      <c r="F109" s="5" t="inlineStr"/>
      <c r="G109" s="5" t="inlineStr">
        <is>
          <t>HPE</t>
        </is>
      </c>
      <c r="H109" s="5">
        <f>HYPERLINK("https://itrix.uz/product/171", "🔗 Mahsulot sotib olish")</f>
        <v/>
      </c>
      <c r="I109" t="inlineStr">
        <is>
          <t>4-171-173</t>
        </is>
      </c>
    </row>
    <row r="110">
      <c r="A110" s="4" t="inlineStr">
        <is>
          <t>Switchlar</t>
        </is>
      </c>
      <c r="B110" s="4" t="inlineStr">
        <is>
          <t>H3C L2 S5170-28S-EI boshqariladigan tarmoq kommutatori — 24 ta Gbit port, PoE qo‘llab-quvvatlovi va 4 ta SFP port bilan</t>
        </is>
      </c>
      <c r="C110" s="5" t="inlineStr"/>
      <c r="D110" s="5" t="n">
        <v>6247472</v>
      </c>
      <c r="E110" s="5" t="n">
        <v>5578100</v>
      </c>
      <c r="F110" s="5" t="inlineStr"/>
      <c r="G110" s="5" t="inlineStr">
        <is>
          <t>H3C</t>
        </is>
      </c>
      <c r="H110" s="5">
        <f>HYPERLINK("https://itrix.uz/product/217", "🔗 Mahsulot sotib olish")</f>
        <v/>
      </c>
      <c r="I110" t="inlineStr">
        <is>
          <t>4-217-219</t>
        </is>
      </c>
    </row>
    <row r="111" ht="30" customHeight="1">
      <c r="A111" s="4" t="inlineStr">
        <is>
          <t>Switchlar</t>
        </is>
      </c>
      <c r="B111" s="4" t="inlineStr">
        <is>
          <t>Ubiquiti UniFi Switch Flex Mini 5 dona boshqariladigan tarmoq kommutatorlari to‘plami</t>
        </is>
      </c>
      <c r="C111" s="5" t="inlineStr"/>
      <c r="D111" s="5" t="n">
        <v>3211824</v>
      </c>
      <c r="E111" s="5" t="n">
        <v>2867700</v>
      </c>
      <c r="F111" s="5" t="inlineStr"/>
      <c r="G111" s="5" t="inlineStr">
        <is>
          <t>UniFi UBIQUITI</t>
        </is>
      </c>
      <c r="H111" s="5">
        <f>HYPERLINK("https://itrix.uz/product/192", "🔗 Mahsulot sotib olish")</f>
        <v/>
      </c>
      <c r="I111" t="inlineStr">
        <is>
          <t>4-192-194</t>
        </is>
      </c>
    </row>
    <row r="112" ht="30" customHeight="1">
      <c r="A112" s="4" t="inlineStr">
        <is>
          <t>Switchlar</t>
        </is>
      </c>
      <c r="B112" s="4" t="inlineStr">
        <is>
          <t>Boshqariladigan kommutator Ubiquiti UniFi Switch 16 PoE USW-16-POE-EU</t>
        </is>
      </c>
      <c r="C112" s="5" t="inlineStr"/>
      <c r="D112" s="5" t="n">
        <v>5829257</v>
      </c>
      <c r="E112" s="5" t="n">
        <v>5204694</v>
      </c>
      <c r="F112" s="5" t="n">
        <v>4864200</v>
      </c>
      <c r="G112" s="5" t="inlineStr">
        <is>
          <t>UniFi UBIQUITI</t>
        </is>
      </c>
      <c r="H112" s="5">
        <f>HYPERLINK("https://itrix.uz/product/185", "🔗 Mahsulot sotib olish")</f>
        <v/>
      </c>
      <c r="I112" t="inlineStr">
        <is>
          <t>4-185-187</t>
        </is>
      </c>
    </row>
    <row r="113" ht="30" customHeight="1">
      <c r="A113" s="4" t="inlineStr">
        <is>
          <t>Switchlar</t>
        </is>
      </c>
      <c r="B113" s="4" t="inlineStr">
        <is>
          <t>Boshqariladigan kommutator Ubiquiti UniFi Switch 24 PoE USW-24-POE-EU</t>
        </is>
      </c>
      <c r="C113" s="5" t="inlineStr"/>
      <c r="D113" s="5" t="n">
        <v>7360498</v>
      </c>
      <c r="E113" s="5" t="n">
        <v>6571873</v>
      </c>
      <c r="F113" s="5" t="n">
        <v>6141960</v>
      </c>
      <c r="G113" s="5" t="inlineStr">
        <is>
          <t>UniFi UBIQUITI</t>
        </is>
      </c>
      <c r="H113" s="5">
        <f>HYPERLINK("https://itrix.uz/product/186", "🔗 Mahsulot sotib olish")</f>
        <v/>
      </c>
      <c r="I113" t="inlineStr">
        <is>
          <t>4-186-188</t>
        </is>
      </c>
    </row>
    <row r="114" ht="30" customHeight="1">
      <c r="A114" s="4" t="inlineStr">
        <is>
          <t>Switchlar</t>
        </is>
      </c>
      <c r="B114" s="4" t="inlineStr">
        <is>
          <t xml:space="preserve"> L2+ darajali boshqariladigan kommutator Ruijie Reyee RG-NBS3100-8GT2SFP</t>
        </is>
      </c>
      <c r="C114" s="5" t="inlineStr"/>
      <c r="D114" s="5" t="n">
        <v>1937936</v>
      </c>
      <c r="E114" s="5" t="n">
        <v>1730300</v>
      </c>
      <c r="F114" s="5" t="inlineStr"/>
      <c r="G114" s="5" t="inlineStr">
        <is>
          <t>Reyee</t>
        </is>
      </c>
      <c r="H114" s="5">
        <f>HYPERLINK("https://itrix.uz/product/488", "🔗 Mahsulot sotib olish")</f>
        <v/>
      </c>
      <c r="I114" t="inlineStr">
        <is>
          <t>4-488-472</t>
        </is>
      </c>
    </row>
    <row r="115" ht="30" customHeight="1">
      <c r="A115" s="4" t="inlineStr">
        <is>
          <t>Switchlar</t>
        </is>
      </c>
      <c r="B115" s="4" t="inlineStr">
        <is>
          <t>H3C L2 S5170-54S-EI boshqariladigan tarmoq kommutatori — 48 ta Gbit port va 6 ta SFP port bilan</t>
        </is>
      </c>
      <c r="C115" s="5" t="inlineStr"/>
      <c r="D115" s="5" t="n">
        <v>8944320</v>
      </c>
      <c r="E115" s="5" t="n">
        <v>7986000</v>
      </c>
      <c r="F115" s="5" t="inlineStr"/>
      <c r="G115" s="5" t="inlineStr">
        <is>
          <t>H3C</t>
        </is>
      </c>
      <c r="H115" s="5">
        <f>HYPERLINK("https://itrix.uz/product/212", "🔗 Mahsulot sotib olish")</f>
        <v/>
      </c>
      <c r="I115" t="inlineStr">
        <is>
          <t>4-212-214</t>
        </is>
      </c>
    </row>
    <row r="116">
      <c r="A116" s="4" t="inlineStr">
        <is>
          <t>Switchlar</t>
        </is>
      </c>
      <c r="B116" s="4" t="inlineStr">
        <is>
          <t>H3C S5120V3-28P-LI L3 darajadagi boshqariladigan tarmoq kommutatori — 24 ta Gbit va 4 ta SFP port bilan</t>
        </is>
      </c>
      <c r="C116" s="5" t="inlineStr"/>
      <c r="D116" s="5" t="n">
        <v>4458608</v>
      </c>
      <c r="E116" s="5" t="n">
        <v>3980900</v>
      </c>
      <c r="F116" s="5" t="inlineStr"/>
      <c r="G116" s="5" t="inlineStr">
        <is>
          <t>H3C</t>
        </is>
      </c>
      <c r="H116" s="5">
        <f>HYPERLINK("https://itrix.uz/product/208", "🔗 Mahsulot sotib olish")</f>
        <v/>
      </c>
      <c r="I116" t="inlineStr">
        <is>
          <t>4-208-210</t>
        </is>
      </c>
    </row>
    <row r="117" ht="30" customHeight="1">
      <c r="A117" s="4" t="inlineStr">
        <is>
          <t>Switchlar</t>
        </is>
      </c>
      <c r="B117" s="4" t="inlineStr">
        <is>
          <t xml:space="preserve"> 2+ darajali boshqariladigan kommutator SNR-S5310G-48TX-2AC</t>
        </is>
      </c>
      <c r="C117" s="5" t="inlineStr"/>
      <c r="D117" s="5" t="n">
        <v>7695910</v>
      </c>
      <c r="E117" s="5" t="n">
        <v>6871348</v>
      </c>
      <c r="F117" s="5" t="inlineStr"/>
      <c r="G117" s="5" t="inlineStr">
        <is>
          <t>SNR</t>
        </is>
      </c>
      <c r="H117" s="5">
        <f>HYPERLINK("https://itrix.uz/product/444", "🔗 Mahsulot sotib olish")</f>
        <v/>
      </c>
      <c r="I117" t="inlineStr">
        <is>
          <t>4-444-428</t>
        </is>
      </c>
    </row>
    <row r="118">
      <c r="A118" s="4" t="inlineStr">
        <is>
          <t>Switchlar</t>
        </is>
      </c>
      <c r="B118" s="4" t="inlineStr">
        <is>
          <t>H3C L2 S5170-54S-PWR-EI boshqariladigan PoE tarmoq kommutatori — 48 ta Gbit port, 6 ta SFP port bilan</t>
        </is>
      </c>
      <c r="C118" s="5" t="inlineStr"/>
      <c r="D118" s="5" t="n">
        <v>12847296</v>
      </c>
      <c r="E118" s="5" t="n">
        <v>11470800</v>
      </c>
      <c r="F118" s="5" t="inlineStr"/>
      <c r="G118" s="5" t="inlineStr">
        <is>
          <t>H3C</t>
        </is>
      </c>
      <c r="H118" s="5">
        <f>HYPERLINK("https://itrix.uz/product/213", "🔗 Mahsulot sotib olish")</f>
        <v/>
      </c>
      <c r="I118" t="inlineStr">
        <is>
          <t>4-213-215</t>
        </is>
      </c>
    </row>
    <row r="119" ht="30" customHeight="1">
      <c r="A119" s="4" t="inlineStr">
        <is>
          <t>Switchlar</t>
        </is>
      </c>
      <c r="B119" s="4" t="inlineStr">
        <is>
          <t xml:space="preserve"> L2+ darajali boshqariladigan kommutator Ruijie Reyee RG-NBS3200-24GT4XS-NBS3200-24GT4XS</t>
        </is>
      </c>
      <c r="C119" s="5" t="inlineStr"/>
      <c r="D119" s="5" t="n">
        <v>11112640</v>
      </c>
      <c r="E119" s="5" t="n">
        <v>9922000</v>
      </c>
      <c r="F119" s="5" t="inlineStr"/>
      <c r="G119" s="5" t="inlineStr">
        <is>
          <t>Reyee</t>
        </is>
      </c>
      <c r="H119" s="5">
        <f>HYPERLINK("https://itrix.uz/product/489", "🔗 Mahsulot sotib olish")</f>
        <v/>
      </c>
      <c r="I119" t="inlineStr">
        <is>
          <t>4-489-473</t>
        </is>
      </c>
    </row>
    <row r="120" ht="30" customHeight="1">
      <c r="A120" s="4" t="inlineStr">
        <is>
          <t>Switchlar</t>
        </is>
      </c>
      <c r="B120" s="4" t="inlineStr">
        <is>
          <t xml:space="preserve"> L2+ darajali boshqariladigan PoE kommutator Ruijie Reyee RG-NBS5100-24GT4SFP-P</t>
        </is>
      </c>
      <c r="C120" s="5" t="inlineStr"/>
      <c r="D120" s="5" t="n">
        <v>9012080</v>
      </c>
      <c r="E120" s="5" t="n">
        <v>8046500</v>
      </c>
      <c r="F120" s="5" t="inlineStr"/>
      <c r="G120" s="5" t="inlineStr">
        <is>
          <t>Reyee</t>
        </is>
      </c>
      <c r="H120" s="5">
        <f>HYPERLINK("https://itrix.uz/product/493", "🔗 Mahsulot sotib olish")</f>
        <v/>
      </c>
      <c r="I120" t="inlineStr">
        <is>
          <t>4-493-477</t>
        </is>
      </c>
    </row>
    <row r="121" ht="30" customHeight="1">
      <c r="A121" s="4" t="inlineStr">
        <is>
          <t>Switchlar</t>
        </is>
      </c>
      <c r="B121" s="4" t="inlineStr">
        <is>
          <t>Boshqariladigan kommutator Grandstream GWN7806</t>
        </is>
      </c>
      <c r="C121" s="5" t="inlineStr"/>
      <c r="D121" s="5" t="n">
        <v>6830208</v>
      </c>
      <c r="E121" s="5" t="n">
        <v>6098400</v>
      </c>
      <c r="F121" s="5" t="inlineStr"/>
      <c r="G121" s="5" t="inlineStr">
        <is>
          <t>Grandstream</t>
        </is>
      </c>
      <c r="H121" s="5">
        <f>HYPERLINK("https://itrix.uz/product/972", "🔗 Mahsulot sotib olish")</f>
        <v/>
      </c>
      <c r="I121" t="inlineStr">
        <is>
          <t>4-972-861</t>
        </is>
      </c>
    </row>
    <row r="122" ht="30" customHeight="1">
      <c r="A122" s="4" t="inlineStr">
        <is>
          <t>Tarmoqqa biriktirilgan xotira (NAS) va ma'lumotlarni saqlash tizimlari (DSS)</t>
        </is>
      </c>
      <c r="B122" s="4" t="inlineStr">
        <is>
          <t xml:space="preserve"> Tarmoqli saqlash qurilmasi (NAS) Synology DS1520+</t>
        </is>
      </c>
      <c r="C122" s="5" t="inlineStr"/>
      <c r="D122" s="5" t="n">
        <v>10692528</v>
      </c>
      <c r="E122" s="5" t="n">
        <v>9546900</v>
      </c>
      <c r="F122" s="5" t="inlineStr"/>
      <c r="G122" s="5" t="inlineStr">
        <is>
          <t>Synology</t>
        </is>
      </c>
      <c r="H122" s="5">
        <f>HYPERLINK("https://itrix.uz/product/271", "🔗 Mahsulot sotib olish")</f>
        <v/>
      </c>
      <c r="I122" t="inlineStr">
        <is>
          <t>4-271-273</t>
        </is>
      </c>
    </row>
    <row r="123" ht="30" customHeight="1">
      <c r="A123" s="4" t="inlineStr">
        <is>
          <t>Switchlar</t>
        </is>
      </c>
      <c r="B123" s="4" t="inlineStr">
        <is>
          <t xml:space="preserve"> 2-darajali boshqariladigan kommutator SNR-S2962-24T-UPS</t>
        </is>
      </c>
      <c r="C123" s="5" t="inlineStr"/>
      <c r="D123" s="5" t="n">
        <v>2437869</v>
      </c>
      <c r="E123" s="5" t="n">
        <v>2176669</v>
      </c>
      <c r="F123" s="5" t="inlineStr"/>
      <c r="G123" s="5" t="inlineStr">
        <is>
          <t>SNR</t>
        </is>
      </c>
      <c r="H123" s="5">
        <f>HYPERLINK("https://itrix.uz/product/421", "🔗 Mahsulot sotib olish")</f>
        <v/>
      </c>
      <c r="I123" t="inlineStr">
        <is>
          <t>4-421-405</t>
        </is>
      </c>
    </row>
    <row r="124" ht="30" customHeight="1">
      <c r="A124" s="4" t="inlineStr">
        <is>
          <t>Switchlar</t>
        </is>
      </c>
      <c r="B124" s="4" t="inlineStr">
        <is>
          <t>HPE Aruba IOn 1960 JL806A 24G 2XGT 2SFP+ kommutatori</t>
        </is>
      </c>
      <c r="C124" s="5" t="inlineStr"/>
      <c r="D124" s="5" t="n">
        <v>11749584</v>
      </c>
      <c r="E124" s="5" t="n">
        <v>10490700</v>
      </c>
      <c r="F124" s="5" t="inlineStr"/>
      <c r="G124" s="5" t="inlineStr">
        <is>
          <t>HPE</t>
        </is>
      </c>
      <c r="H124" s="5">
        <f>HYPERLINK("https://itrix.uz/product/165", "🔗 Mahsulot sotib olish")</f>
        <v/>
      </c>
      <c r="I124" t="inlineStr">
        <is>
          <t>4-165-167</t>
        </is>
      </c>
    </row>
    <row r="125" ht="30" customHeight="1">
      <c r="A125" s="4" t="inlineStr">
        <is>
          <t>Switchlar</t>
        </is>
      </c>
      <c r="B125" s="4" t="inlineStr">
        <is>
          <t xml:space="preserve"> 2-darajali boshqariladigan kommutator SNR-S2982G-24TE-DC</t>
        </is>
      </c>
      <c r="C125" s="5" t="inlineStr"/>
      <c r="D125" s="5" t="n">
        <v>3558349</v>
      </c>
      <c r="E125" s="5" t="n">
        <v>3177097</v>
      </c>
      <c r="F125" s="5" t="inlineStr"/>
      <c r="G125" s="5" t="inlineStr">
        <is>
          <t>SNR</t>
        </is>
      </c>
      <c r="H125" s="5">
        <f>HYPERLINK("https://itrix.uz/product/427", "🔗 Mahsulot sotib olish")</f>
        <v/>
      </c>
      <c r="I125" t="inlineStr">
        <is>
          <t>4-427-411</t>
        </is>
      </c>
    </row>
    <row r="126" ht="30" customHeight="1">
      <c r="A126" s="4" t="inlineStr">
        <is>
          <t>Switchlar</t>
        </is>
      </c>
      <c r="B126" s="4" t="inlineStr">
        <is>
          <t xml:space="preserve"> 2+ darajali boshqariladigan kommutator SNR-S5210G-24TX</t>
        </is>
      </c>
      <c r="C126" s="5" t="inlineStr"/>
      <c r="D126" s="5" t="n">
        <v>3689939</v>
      </c>
      <c r="E126" s="5" t="n">
        <v>3294588</v>
      </c>
      <c r="F126" s="5" t="inlineStr"/>
      <c r="G126" s="5" t="inlineStr">
        <is>
          <t>SNR</t>
        </is>
      </c>
      <c r="H126" s="5">
        <f>HYPERLINK("https://itrix.uz/product/431", "🔗 Mahsulot sotib olish")</f>
        <v/>
      </c>
      <c r="I126" t="inlineStr">
        <is>
          <t>4-431-415</t>
        </is>
      </c>
    </row>
    <row r="127" ht="30" customHeight="1">
      <c r="A127" s="4" t="inlineStr">
        <is>
          <t>Switchlar</t>
        </is>
      </c>
      <c r="B127" s="4" t="inlineStr">
        <is>
          <t xml:space="preserve"> 2-darajali boshqariladigan kommutator SNR-S2989G-48TX</t>
        </is>
      </c>
      <c r="C127" s="5" t="inlineStr"/>
      <c r="D127" s="5" t="n">
        <v>6925072</v>
      </c>
      <c r="E127" s="5" t="n">
        <v>6183100</v>
      </c>
      <c r="F127" s="5" t="inlineStr"/>
      <c r="G127" s="5" t="inlineStr">
        <is>
          <t>SNR</t>
        </is>
      </c>
      <c r="H127" s="5">
        <f>HYPERLINK("https://itrix.uz/product/433", "🔗 Mahsulot sotib olish")</f>
        <v/>
      </c>
      <c r="I127" t="inlineStr">
        <is>
          <t>4-433-417</t>
        </is>
      </c>
    </row>
    <row r="128" ht="30" customHeight="1">
      <c r="A128" s="4" t="inlineStr">
        <is>
          <t>Switchlar</t>
        </is>
      </c>
      <c r="B128" s="4" t="inlineStr">
        <is>
          <t>Boshqariladigan kommutator HPE Aruba 2930F JL261A 24G PoE + 4SFP</t>
        </is>
      </c>
      <c r="C128" s="5" t="inlineStr"/>
      <c r="D128" s="5" t="n">
        <v>15395072</v>
      </c>
      <c r="E128" s="5" t="n">
        <v>13745600</v>
      </c>
      <c r="F128" s="5" t="inlineStr"/>
      <c r="G128" s="5" t="inlineStr">
        <is>
          <t>HPE</t>
        </is>
      </c>
      <c r="H128" s="5">
        <f>HYPERLINK("https://itrix.uz/product/160", "🔗 Mahsulot sotib olish")</f>
        <v/>
      </c>
      <c r="I128" t="inlineStr">
        <is>
          <t>4-160-10</t>
        </is>
      </c>
    </row>
    <row r="129" ht="30" customHeight="1">
      <c r="A129" s="4" t="inlineStr">
        <is>
          <t>Switchlar</t>
        </is>
      </c>
      <c r="B129" s="4" t="inlineStr">
        <is>
          <t xml:space="preserve"> 2+ darajali boshqariladigan kommutator SNR-S5210G-8TX</t>
        </is>
      </c>
      <c r="C129" s="5" t="inlineStr"/>
      <c r="D129" s="5" t="n">
        <v>2503868</v>
      </c>
      <c r="E129" s="5" t="n">
        <v>2235596</v>
      </c>
      <c r="F129" s="5" t="inlineStr"/>
      <c r="G129" s="5" t="inlineStr">
        <is>
          <t>SNR</t>
        </is>
      </c>
      <c r="H129" s="5">
        <f>HYPERLINK("https://itrix.uz/product/439", "🔗 Mahsulot sotib olish")</f>
        <v/>
      </c>
      <c r="I129" t="inlineStr">
        <is>
          <t>4-439-423</t>
        </is>
      </c>
    </row>
    <row r="130" ht="30" customHeight="1">
      <c r="A130" s="4" t="inlineStr">
        <is>
          <t>Switchlar</t>
        </is>
      </c>
      <c r="B130" s="4" t="inlineStr">
        <is>
          <t xml:space="preserve"> 2+ darajali boshqariladigan kommutator SNR-S5210X-8F</t>
        </is>
      </c>
      <c r="C130" s="5" t="inlineStr"/>
      <c r="D130" s="5" t="n">
        <v>3426352</v>
      </c>
      <c r="E130" s="5" t="n">
        <v>3059243</v>
      </c>
      <c r="F130" s="5" t="inlineStr"/>
      <c r="G130" s="5" t="inlineStr">
        <is>
          <t>SNR</t>
        </is>
      </c>
      <c r="H130" s="5">
        <f>HYPERLINK("https://itrix.uz/product/440", "🔗 Mahsulot sotib olish")</f>
        <v/>
      </c>
      <c r="I130" t="inlineStr">
        <is>
          <t>4-440-424</t>
        </is>
      </c>
    </row>
    <row r="131" ht="30" customHeight="1">
      <c r="A131" s="4" t="inlineStr">
        <is>
          <t>Switchlar</t>
        </is>
      </c>
      <c r="B131" s="4" t="inlineStr">
        <is>
          <t xml:space="preserve"> 2+ darajali boshqariladigan kommutator SNR-S5310G-48TX</t>
        </is>
      </c>
      <c r="C131" s="5" t="inlineStr"/>
      <c r="D131" s="5" t="n">
        <v>6586272</v>
      </c>
      <c r="E131" s="5" t="n">
        <v>5880600</v>
      </c>
      <c r="F131" s="5" t="inlineStr"/>
      <c r="G131" s="5" t="inlineStr">
        <is>
          <t>SNR</t>
        </is>
      </c>
      <c r="H131" s="5">
        <f>HYPERLINK("https://itrix.uz/product/442", "🔗 Mahsulot sotib olish")</f>
        <v/>
      </c>
      <c r="I131" t="inlineStr">
        <is>
          <t>4-442-426</t>
        </is>
      </c>
    </row>
    <row r="132" ht="30" customHeight="1">
      <c r="A132" s="4" t="inlineStr">
        <is>
          <t>Switchlar</t>
        </is>
      </c>
      <c r="B132" s="4" t="inlineStr">
        <is>
          <t xml:space="preserve"> 2+ darajali boshqariladigan kommutator SNR-S5210G-24TX-UPS</t>
        </is>
      </c>
      <c r="C132" s="5" t="inlineStr"/>
      <c r="D132" s="5" t="n">
        <v>4216976</v>
      </c>
      <c r="E132" s="5" t="n">
        <v>3765157</v>
      </c>
      <c r="F132" s="5" t="inlineStr"/>
      <c r="G132" s="5" t="inlineStr">
        <is>
          <t>SNR</t>
        </is>
      </c>
      <c r="H132" s="5">
        <f>HYPERLINK("https://itrix.uz/product/448", "🔗 Mahsulot sotib olish")</f>
        <v/>
      </c>
      <c r="I132" t="inlineStr">
        <is>
          <t>4-448-432</t>
        </is>
      </c>
    </row>
    <row r="133" ht="30" customHeight="1">
      <c r="A133" s="4" t="inlineStr">
        <is>
          <t>Switchlar</t>
        </is>
      </c>
      <c r="B133" s="4" t="inlineStr">
        <is>
          <t xml:space="preserve"> 2+ darajali boshqariladigan kommutator SNR-S5210G-24FX</t>
        </is>
      </c>
      <c r="C133" s="5" t="inlineStr"/>
      <c r="D133" s="5" t="n">
        <v>5664736</v>
      </c>
      <c r="E133" s="5" t="n">
        <v>5057800</v>
      </c>
      <c r="F133" s="5" t="inlineStr"/>
      <c r="G133" s="5" t="inlineStr">
        <is>
          <t>SNR</t>
        </is>
      </c>
      <c r="H133" s="5">
        <f>HYPERLINK("https://itrix.uz/product/449", "🔗 Mahsulot sotib olish")</f>
        <v/>
      </c>
      <c r="I133" t="inlineStr">
        <is>
          <t>4-449-433</t>
        </is>
      </c>
    </row>
    <row r="134" ht="30" customHeight="1">
      <c r="A134" s="4" t="inlineStr">
        <is>
          <t>Switchlar</t>
        </is>
      </c>
      <c r="B134" s="4" t="inlineStr">
        <is>
          <t xml:space="preserve"> Boshqarilmaydigan POE kommutator SNR-S1908GP-2S</t>
        </is>
      </c>
      <c r="C134" s="5" t="inlineStr"/>
      <c r="D134" s="5" t="n">
        <v>1713108</v>
      </c>
      <c r="E134" s="5" t="n">
        <v>1529561</v>
      </c>
      <c r="F134" s="5" t="inlineStr"/>
      <c r="G134" s="5" t="inlineStr">
        <is>
          <t>SNR</t>
        </is>
      </c>
      <c r="H134" s="5">
        <f>HYPERLINK("https://itrix.uz/product/483", "🔗 Mahsulot sotib olish")</f>
        <v/>
      </c>
      <c r="I134" t="inlineStr">
        <is>
          <t>4-483-467</t>
        </is>
      </c>
    </row>
    <row r="135" ht="30" customHeight="1">
      <c r="A135" s="4" t="inlineStr">
        <is>
          <t>Switchlar</t>
        </is>
      </c>
      <c r="B135" s="4" t="inlineStr">
        <is>
          <t xml:space="preserve"> 3-darajali boshqariladigan kommutator SNR-S2995G-24TX-RPS</t>
        </is>
      </c>
      <c r="C135" s="5" t="inlineStr"/>
      <c r="D135" s="5" t="n">
        <v>7860160</v>
      </c>
      <c r="E135" s="5" t="n">
        <v>7018000</v>
      </c>
      <c r="F135" s="5" t="inlineStr"/>
      <c r="G135" s="5" t="inlineStr">
        <is>
          <t>SNR</t>
        </is>
      </c>
      <c r="H135" s="5">
        <f>HYPERLINK("https://itrix.uz/product/451", "🔗 Mahsulot sotib olish")</f>
        <v/>
      </c>
      <c r="I135" t="inlineStr">
        <is>
          <t>4-451-435</t>
        </is>
      </c>
    </row>
    <row r="136" ht="30" customHeight="1">
      <c r="A136" s="4" t="inlineStr">
        <is>
          <t>Switchlar</t>
        </is>
      </c>
      <c r="B136" s="4" t="inlineStr">
        <is>
          <t xml:space="preserve"> 3-darajali boshqariladigan kommutator SNR-S3850G-48TX</t>
        </is>
      </c>
      <c r="C136" s="5" t="inlineStr"/>
      <c r="D136" s="5" t="n">
        <v>21141120</v>
      </c>
      <c r="E136" s="5" t="n">
        <v>18876000</v>
      </c>
      <c r="F136" s="5" t="inlineStr"/>
      <c r="G136" s="5" t="inlineStr">
        <is>
          <t>SNR</t>
        </is>
      </c>
      <c r="H136" s="5">
        <f>HYPERLINK("https://itrix.uz/product/454", "🔗 Mahsulot sotib olish")</f>
        <v/>
      </c>
      <c r="I136" t="inlineStr">
        <is>
          <t>4-454-438</t>
        </is>
      </c>
    </row>
    <row r="137" ht="30" customHeight="1">
      <c r="A137" s="4" t="inlineStr">
        <is>
          <t>Switchlar</t>
        </is>
      </c>
      <c r="B137" s="4" t="inlineStr">
        <is>
          <t xml:space="preserve"> 3-darajali boshqariladigan kommutator SNR-S4350X-48FC</t>
        </is>
      </c>
      <c r="C137" s="5" t="inlineStr"/>
      <c r="D137" s="5" t="n">
        <v>111804000</v>
      </c>
      <c r="E137" s="5" t="n">
        <v>99825000</v>
      </c>
      <c r="F137" s="5" t="inlineStr"/>
      <c r="G137" s="5" t="inlineStr">
        <is>
          <t>SNR</t>
        </is>
      </c>
      <c r="H137" s="5">
        <f>HYPERLINK("https://itrix.uz/product/455", "🔗 Mahsulot sotib olish")</f>
        <v/>
      </c>
      <c r="I137" t="inlineStr">
        <is>
          <t>4-455-439</t>
        </is>
      </c>
    </row>
    <row r="138" ht="30" customHeight="1">
      <c r="A138" s="4" t="inlineStr">
        <is>
          <t>Switchlar</t>
        </is>
      </c>
      <c r="B138" s="4" t="inlineStr">
        <is>
          <t>3-darajali boshqariladigan kommutator SNR-S2995G-48TX</t>
        </is>
      </c>
      <c r="C138" s="5" t="inlineStr"/>
      <c r="D138" s="5" t="n">
        <v>17183936</v>
      </c>
      <c r="E138" s="5" t="n">
        <v>15342800</v>
      </c>
      <c r="F138" s="5" t="inlineStr"/>
      <c r="G138" s="5" t="inlineStr">
        <is>
          <t>SNR</t>
        </is>
      </c>
      <c r="H138" s="5">
        <f>HYPERLINK("https://itrix.uz/product/457", "🔗 Mahsulot sotib olish")</f>
        <v/>
      </c>
      <c r="I138" t="inlineStr">
        <is>
          <t>4-457-441</t>
        </is>
      </c>
    </row>
    <row r="139" ht="30" customHeight="1">
      <c r="A139" s="4" t="inlineStr">
        <is>
          <t>Switchlar</t>
        </is>
      </c>
      <c r="B139" s="4" t="inlineStr">
        <is>
          <t xml:space="preserve"> 3-darajali boshqariladigan kommutator SNR-S2995G-48TX-RPS</t>
        </is>
      </c>
      <c r="C139" s="5" t="inlineStr"/>
      <c r="D139" s="5" t="n">
        <v>10272416</v>
      </c>
      <c r="E139" s="5" t="n">
        <v>9171800</v>
      </c>
      <c r="F139" s="5" t="inlineStr"/>
      <c r="G139" s="5" t="inlineStr">
        <is>
          <t>SNR</t>
        </is>
      </c>
      <c r="H139" s="5">
        <f>HYPERLINK("https://itrix.uz/product/458", "🔗 Mahsulot sotib olish")</f>
        <v/>
      </c>
      <c r="I139" t="inlineStr">
        <is>
          <t>4-458-442</t>
        </is>
      </c>
    </row>
    <row r="140" ht="30" customHeight="1">
      <c r="A140" s="4" t="inlineStr">
        <is>
          <t>Switchlar</t>
        </is>
      </c>
      <c r="B140" s="4" t="inlineStr">
        <is>
          <t xml:space="preserve"> 3-darajali boshqariladigan kommutator SNR-S300G-24FX (quvvat bloklarisiz)</t>
        </is>
      </c>
      <c r="C140" s="5" t="inlineStr"/>
      <c r="D140" s="5" t="n">
        <v>35357168</v>
      </c>
      <c r="E140" s="5" t="n">
        <v>31568900</v>
      </c>
      <c r="F140" s="5" t="inlineStr"/>
      <c r="G140" s="5" t="inlineStr">
        <is>
          <t>SNR</t>
        </is>
      </c>
      <c r="H140" s="5">
        <f>HYPERLINK("https://itrix.uz/product/459", "🔗 Mahsulot sotib olish")</f>
        <v/>
      </c>
      <c r="I140" t="inlineStr">
        <is>
          <t>4-459-443</t>
        </is>
      </c>
    </row>
    <row r="141" ht="30" customHeight="1">
      <c r="A141" s="4" t="inlineStr">
        <is>
          <t>Switchlar</t>
        </is>
      </c>
      <c r="B141" s="4" t="inlineStr">
        <is>
          <t xml:space="preserve"> 3-darajali boshqariladigan kommutator SNR-S4650X-48FQ</t>
        </is>
      </c>
      <c r="C141" s="5" t="inlineStr"/>
      <c r="D141" s="5" t="n">
        <v>145684000</v>
      </c>
      <c r="E141" s="5" t="n">
        <v>130075000</v>
      </c>
      <c r="F141" s="5" t="inlineStr"/>
      <c r="G141" s="5" t="inlineStr">
        <is>
          <t>SNR</t>
        </is>
      </c>
      <c r="H141" s="5">
        <f>HYPERLINK("https://itrix.uz/product/462", "🔗 Mahsulot sotib olish")</f>
        <v/>
      </c>
      <c r="I141" t="inlineStr">
        <is>
          <t>4-462-446</t>
        </is>
      </c>
    </row>
    <row r="142" ht="30" customHeight="1">
      <c r="A142" s="4" t="inlineStr">
        <is>
          <t>Switchlar</t>
        </is>
      </c>
      <c r="B142" s="4" t="inlineStr">
        <is>
          <t xml:space="preserve"> 3-darajali boshqariladigan kommutator SNR-S300X-24FQ</t>
        </is>
      </c>
      <c r="C142" s="5" t="inlineStr"/>
      <c r="D142" s="5" t="n">
        <v>59967600</v>
      </c>
      <c r="E142" s="5" t="n">
        <v>53542500</v>
      </c>
      <c r="F142" s="5" t="inlineStr"/>
      <c r="G142" s="5" t="inlineStr">
        <is>
          <t>SNR</t>
        </is>
      </c>
      <c r="H142" s="5">
        <f>HYPERLINK("https://itrix.uz/product/465", "🔗 Mahsulot sotib olish")</f>
        <v/>
      </c>
      <c r="I142" t="inlineStr">
        <is>
          <t>4-465-449</t>
        </is>
      </c>
    </row>
    <row r="143" ht="30" customHeight="1">
      <c r="A143" s="4" t="inlineStr">
        <is>
          <t>Switchlar</t>
        </is>
      </c>
      <c r="B143" s="4" t="inlineStr">
        <is>
          <t xml:space="preserve"> 3-darajali boshqariladigan kommutator SNR-S400X-24FC-2AC</t>
        </is>
      </c>
      <c r="C143" s="5" t="inlineStr"/>
      <c r="D143" s="5" t="n">
        <v>38148880</v>
      </c>
      <c r="E143" s="5" t="n">
        <v>34061500</v>
      </c>
      <c r="F143" s="5" t="inlineStr"/>
      <c r="G143" s="5" t="inlineStr">
        <is>
          <t>SNR</t>
        </is>
      </c>
      <c r="H143" s="5">
        <f>HYPERLINK("https://itrix.uz/product/467", "🔗 Mahsulot sotib olish")</f>
        <v/>
      </c>
      <c r="I143" t="inlineStr">
        <is>
          <t>4-467-451</t>
        </is>
      </c>
    </row>
    <row r="144" ht="30" customHeight="1">
      <c r="A144" s="4" t="inlineStr">
        <is>
          <t>Telekommunikatsiya shkaflari</t>
        </is>
      </c>
      <c r="B144" s="4" t="inlineStr">
        <is>
          <t>Devoriy termo shkaf 400x400x250 mm, IP65 (isitish, iqlim nazorati)</t>
        </is>
      </c>
      <c r="C144" s="5" t="inlineStr"/>
      <c r="D144" s="5" t="n">
        <v>3647385</v>
      </c>
      <c r="E144" s="5" t="n">
        <v>3256594</v>
      </c>
      <c r="F144" s="5" t="inlineStr"/>
      <c r="G144" s="5" t="inlineStr">
        <is>
          <t>SNR</t>
        </is>
      </c>
      <c r="H144" s="5">
        <f>HYPERLINK("https://itrix.uz/product/898", "🔗 Mahsulot sotib olish")</f>
        <v/>
      </c>
      <c r="I144" t="inlineStr">
        <is>
          <t>4-898-788</t>
        </is>
      </c>
    </row>
    <row r="145" ht="30" customHeight="1">
      <c r="A145" s="4" t="inlineStr">
        <is>
          <t>Switchlar</t>
        </is>
      </c>
      <c r="B145" s="4" t="inlineStr">
        <is>
          <t xml:space="preserve"> 3-darajali boshqariladigan kommutator SNR-S2995G-48FX</t>
        </is>
      </c>
      <c r="C145" s="5" t="inlineStr"/>
      <c r="D145" s="5" t="n">
        <v>14496168</v>
      </c>
      <c r="E145" s="5" t="n">
        <v>12943007</v>
      </c>
      <c r="F145" s="5" t="inlineStr"/>
      <c r="G145" s="5" t="inlineStr">
        <is>
          <t>SNR</t>
        </is>
      </c>
      <c r="H145" s="5">
        <f>HYPERLINK("https://itrix.uz/product/469", "🔗 Mahsulot sotib olish")</f>
        <v/>
      </c>
      <c r="I145" t="inlineStr">
        <is>
          <t>4-469-453</t>
        </is>
      </c>
    </row>
    <row r="146" ht="30" customHeight="1">
      <c r="A146" s="4" t="inlineStr">
        <is>
          <t>Switchlar</t>
        </is>
      </c>
      <c r="B146" s="4" t="inlineStr">
        <is>
          <t xml:space="preserve"> 3-darajali boshqariladigan kommutator SNR-S2995G-24FX</t>
        </is>
      </c>
      <c r="C146" s="5" t="inlineStr"/>
      <c r="D146" s="5" t="n">
        <v>7906914</v>
      </c>
      <c r="E146" s="5" t="n">
        <v>7059745</v>
      </c>
      <c r="F146" s="5" t="inlineStr"/>
      <c r="G146" s="5" t="inlineStr">
        <is>
          <t>SNR</t>
        </is>
      </c>
      <c r="H146" s="5">
        <f>HYPERLINK("https://itrix.uz/product/470", "🔗 Mahsulot sotib olish")</f>
        <v/>
      </c>
      <c r="I146" t="inlineStr">
        <is>
          <t>4-470-454</t>
        </is>
      </c>
    </row>
    <row r="147" ht="30" customHeight="1">
      <c r="A147" s="4" t="inlineStr">
        <is>
          <t>Switchlar</t>
        </is>
      </c>
      <c r="B147" s="4" t="inlineStr">
        <is>
          <t xml:space="preserve"> 3-darajali boshqariladigan POE kommutator SNR-S2995G-24TX-POE</t>
        </is>
      </c>
      <c r="C147" s="5" t="inlineStr"/>
      <c r="D147" s="5" t="n">
        <v>13990814</v>
      </c>
      <c r="E147" s="5" t="n">
        <v>12491798</v>
      </c>
      <c r="F147" s="5" t="n">
        <v>10784125</v>
      </c>
      <c r="G147" s="5" t="inlineStr">
        <is>
          <t>SNR</t>
        </is>
      </c>
      <c r="H147" s="5">
        <f>HYPERLINK("https://itrix.uz/product/477", "🔗 Mahsulot sotib olish")</f>
        <v/>
      </c>
      <c r="I147" t="inlineStr">
        <is>
          <t>4-477-461</t>
        </is>
      </c>
    </row>
    <row r="148" ht="30" customHeight="1">
      <c r="A148" s="4" t="inlineStr">
        <is>
          <t>Switchlar</t>
        </is>
      </c>
      <c r="B148" s="4" t="inlineStr">
        <is>
          <t xml:space="preserve"> 2-darajali boshqariladigan kommutator SNR-S2990X-24FQ</t>
        </is>
      </c>
      <c r="C148" s="5" t="inlineStr"/>
      <c r="D148" s="5" t="n">
        <v>36834336</v>
      </c>
      <c r="E148" s="5" t="n">
        <v>32887800</v>
      </c>
      <c r="F148" s="5" t="inlineStr"/>
      <c r="G148" s="5" t="inlineStr">
        <is>
          <t>SNR</t>
        </is>
      </c>
      <c r="H148" s="5">
        <f>HYPERLINK("https://itrix.uz/product/466", "🔗 Mahsulot sotib olish")</f>
        <v/>
      </c>
      <c r="I148" t="inlineStr">
        <is>
          <t>4-466-450</t>
        </is>
      </c>
    </row>
    <row r="149" ht="30" customHeight="1">
      <c r="A149" s="4" t="inlineStr">
        <is>
          <t>Switchlar</t>
        </is>
      </c>
      <c r="B149" s="4" t="inlineStr">
        <is>
          <t xml:space="preserve"> 2-darajali boshqariladigan POE kommutator SNR-S2985G-24T-POE-E</t>
        </is>
      </c>
      <c r="C149" s="5" t="inlineStr"/>
      <c r="D149" s="5" t="n">
        <v>9422435</v>
      </c>
      <c r="E149" s="5" t="n">
        <v>8412888</v>
      </c>
      <c r="F149" s="5" t="inlineStr"/>
      <c r="G149" s="5" t="inlineStr">
        <is>
          <t>SNR</t>
        </is>
      </c>
      <c r="H149" s="5">
        <f>HYPERLINK("https://itrix.uz/product/474", "🔗 Mahsulot sotib olish")</f>
        <v/>
      </c>
      <c r="I149" t="inlineStr">
        <is>
          <t>4-474-458</t>
        </is>
      </c>
    </row>
    <row r="150" ht="30" customHeight="1">
      <c r="A150" s="4" t="inlineStr">
        <is>
          <t>Switchlar</t>
        </is>
      </c>
      <c r="B150" s="4" t="inlineStr">
        <is>
          <t xml:space="preserve"> 2-darajali boshqariladigan PoE kommutator SNR-S2989G-24TX-POE-2AC</t>
        </is>
      </c>
      <c r="C150" s="5" t="inlineStr"/>
      <c r="D150" s="5" t="n">
        <v>8402240</v>
      </c>
      <c r="E150" s="5" t="n">
        <v>7502000</v>
      </c>
      <c r="F150" s="5" t="inlineStr"/>
      <c r="G150" s="5" t="inlineStr">
        <is>
          <t>SNR</t>
        </is>
      </c>
      <c r="H150" s="5">
        <f>HYPERLINK("https://itrix.uz/product/478", "🔗 Mahsulot sotib olish")</f>
        <v/>
      </c>
      <c r="I150" t="inlineStr">
        <is>
          <t>4-478-462</t>
        </is>
      </c>
    </row>
    <row r="151" ht="30" customHeight="1">
      <c r="A151" s="4" t="inlineStr">
        <is>
          <t>Switchlar</t>
        </is>
      </c>
      <c r="B151" s="4" t="inlineStr">
        <is>
          <t xml:space="preserve"> L2+ darajali boshqariladigan kommutator Ruijie Reyee RG-NBS3200-48GT4XS</t>
        </is>
      </c>
      <c r="C151" s="5" t="inlineStr"/>
      <c r="D151" s="5" t="n">
        <v>10231760</v>
      </c>
      <c r="E151" s="5" t="n">
        <v>9135500</v>
      </c>
      <c r="F151" s="5" t="inlineStr"/>
      <c r="G151" s="5" t="inlineStr">
        <is>
          <t>Reyee</t>
        </is>
      </c>
      <c r="H151" s="5">
        <f>HYPERLINK("https://itrix.uz/product/490", "🔗 Mahsulot sotib olish")</f>
        <v/>
      </c>
      <c r="I151" t="inlineStr">
        <is>
          <t>4-490-474</t>
        </is>
      </c>
    </row>
    <row r="152" ht="30" customHeight="1">
      <c r="A152" s="4" t="inlineStr">
        <is>
          <t>Switchlar</t>
        </is>
      </c>
      <c r="B152" s="4" t="inlineStr">
        <is>
          <t>SNR-S2995G-24TX</t>
        </is>
      </c>
      <c r="C152" s="5" t="inlineStr"/>
      <c r="D152" s="5" t="n">
        <v>5800256</v>
      </c>
      <c r="E152" s="5" t="n">
        <v>5178800</v>
      </c>
      <c r="F152" s="5" t="n">
        <v>4840000</v>
      </c>
      <c r="G152" s="5" t="inlineStr">
        <is>
          <t>SNR</t>
        </is>
      </c>
      <c r="H152" s="5">
        <f>HYPERLINK("https://itrix.uz/product/450", "🔗 Mahsulot sotib olish")</f>
        <v/>
      </c>
      <c r="I152" t="inlineStr">
        <is>
          <t>4-450-434</t>
        </is>
      </c>
    </row>
    <row r="153" ht="30" customHeight="1">
      <c r="A153" s="4" t="inlineStr">
        <is>
          <t>Switchlar</t>
        </is>
      </c>
      <c r="B153" s="4" t="inlineStr">
        <is>
          <t xml:space="preserve"> SNR-S2995G-12FX 3-darajali boshqariladigan kommutator</t>
        </is>
      </c>
      <c r="C153" s="5" t="inlineStr"/>
      <c r="D153" s="5" t="n">
        <v>4612423</v>
      </c>
      <c r="E153" s="5" t="n">
        <v>4118235</v>
      </c>
      <c r="F153" s="5" t="inlineStr"/>
      <c r="G153" s="5" t="inlineStr">
        <is>
          <t>SNR</t>
        </is>
      </c>
      <c r="H153" s="5">
        <f>HYPERLINK("https://itrix.uz/product/600", "🔗 Mahsulot sotib olish")</f>
        <v/>
      </c>
      <c r="I153" t="inlineStr">
        <is>
          <t>4-600-555</t>
        </is>
      </c>
    </row>
    <row r="154" ht="30" customHeight="1">
      <c r="A154" s="4" t="inlineStr">
        <is>
          <t>Switchlar</t>
        </is>
      </c>
      <c r="B154" s="4" t="inlineStr">
        <is>
          <t>Boshqariladigan kommutator HPE Aruba 6100 JL677A 24G 4SFP+ PoE 370W</t>
        </is>
      </c>
      <c r="C154" s="5" t="inlineStr"/>
      <c r="D154" s="5" t="n">
        <v>39449872</v>
      </c>
      <c r="E154" s="5" t="n">
        <v>35223100</v>
      </c>
      <c r="F154" s="5" t="inlineStr"/>
      <c r="G154" s="5" t="inlineStr">
        <is>
          <t>HPE</t>
        </is>
      </c>
      <c r="H154" s="5">
        <f>HYPERLINK("https://itrix.uz/product/162", "🔗 Mahsulot sotib olish")</f>
        <v/>
      </c>
      <c r="I154" t="inlineStr">
        <is>
          <t>4-162-108</t>
        </is>
      </c>
    </row>
    <row r="155" ht="30" customHeight="1">
      <c r="A155" s="4" t="inlineStr">
        <is>
          <t>Switchlar</t>
        </is>
      </c>
      <c r="B155" s="4" t="inlineStr">
        <is>
          <t>Boshqariladigan kommutator HPE Aruba 2930F JL262A 48G PoE+ 4SFP</t>
        </is>
      </c>
      <c r="C155" s="5" t="inlineStr"/>
      <c r="D155" s="5" t="n">
        <v>26968480</v>
      </c>
      <c r="E155" s="5" t="n">
        <v>24079000</v>
      </c>
      <c r="F155" s="5" t="inlineStr"/>
      <c r="G155" s="5" t="inlineStr">
        <is>
          <t>HPE</t>
        </is>
      </c>
      <c r="H155" s="5">
        <f>HYPERLINK("https://itrix.uz/product/170", "🔗 Mahsulot sotib olish")</f>
        <v/>
      </c>
      <c r="I155" t="inlineStr">
        <is>
          <t>4-170-172</t>
        </is>
      </c>
    </row>
    <row r="156" ht="30" customHeight="1">
      <c r="A156" s="4" t="inlineStr">
        <is>
          <t>Switchlar</t>
        </is>
      </c>
      <c r="B156" s="4" t="inlineStr">
        <is>
          <t>Boshqariladigan kommutator Ubiquiti EdgeSwitch 8 PoE ES-8-150W</t>
        </is>
      </c>
      <c r="C156" s="5" t="inlineStr"/>
      <c r="D156" s="5" t="n">
        <v>3767456</v>
      </c>
      <c r="E156" s="5" t="n">
        <v>3363800</v>
      </c>
      <c r="F156" s="5" t="inlineStr"/>
      <c r="G156" s="5" t="inlineStr">
        <is>
          <t>UniFi UBIQUITI</t>
        </is>
      </c>
      <c r="H156" s="5">
        <f>HYPERLINK("https://itrix.uz/product/179", "🔗 Mahsulot sotib olish")</f>
        <v/>
      </c>
      <c r="I156" t="inlineStr">
        <is>
          <t>4-179-181</t>
        </is>
      </c>
    </row>
    <row r="157">
      <c r="A157" s="4" t="inlineStr">
        <is>
          <t>Switchlar</t>
        </is>
      </c>
      <c r="B157" s="4" t="inlineStr">
        <is>
          <t>H3C L2 S5170-28S-HPWR-EI boshqariladigan PoE tarmoq kommutatori — 24 ta Gbit port, 4 ta SFP port bilan</t>
        </is>
      </c>
      <c r="C157" s="5" t="inlineStr"/>
      <c r="D157" s="5" t="n">
        <v>8171856</v>
      </c>
      <c r="E157" s="5" t="n">
        <v>7296300</v>
      </c>
      <c r="F157" s="5" t="inlineStr"/>
      <c r="G157" s="5" t="inlineStr">
        <is>
          <t>H3C</t>
        </is>
      </c>
      <c r="H157" s="5">
        <f>HYPERLINK("https://itrix.uz/product/211", "🔗 Mahsulot sotib olish")</f>
        <v/>
      </c>
      <c r="I157" t="inlineStr">
        <is>
          <t>4-211-213</t>
        </is>
      </c>
    </row>
    <row r="158" ht="30" customHeight="1">
      <c r="A158" s="4" t="inlineStr">
        <is>
          <t>Switchlar</t>
        </is>
      </c>
      <c r="B158" s="4" t="inlineStr">
        <is>
          <t>Zyxel GS1008HP 8-portli tarmoq kommutatori — 8 ta gigabit port va PoE funksiyasi bilan</t>
        </is>
      </c>
      <c r="C158" s="5" t="inlineStr"/>
      <c r="D158" s="5" t="n">
        <v>1260336</v>
      </c>
      <c r="E158" s="5" t="n">
        <v>1125300</v>
      </c>
      <c r="F158" s="5" t="inlineStr"/>
      <c r="G158" s="5" t="inlineStr">
        <is>
          <t>Zyxel</t>
        </is>
      </c>
      <c r="H158" s="5">
        <f>HYPERLINK("https://itrix.uz/product/220", "🔗 Mahsulot sotib olish")</f>
        <v/>
      </c>
      <c r="I158" t="inlineStr">
        <is>
          <t>4-220-222</t>
        </is>
      </c>
    </row>
    <row r="159">
      <c r="A159" s="4" t="inlineStr">
        <is>
          <t>Switchlar</t>
        </is>
      </c>
      <c r="B159" s="4" t="inlineStr">
        <is>
          <t>Zyxel GS1300-10HP tarmoq kommutatori — 8 ta gigabit port, 1 ta SFP port va PoE qo‘llab-quvvatlovi bilan</t>
        </is>
      </c>
      <c r="C159" s="5" t="inlineStr"/>
      <c r="D159" s="5" t="n">
        <v>3550624</v>
      </c>
      <c r="E159" s="5" t="n">
        <v>3170200</v>
      </c>
      <c r="F159" s="5" t="inlineStr"/>
      <c r="G159" s="5" t="inlineStr">
        <is>
          <t>Zyxel</t>
        </is>
      </c>
      <c r="H159" s="5">
        <f>HYPERLINK("https://itrix.uz/product/221", "🔗 Mahsulot sotib olish")</f>
        <v/>
      </c>
      <c r="I159" t="inlineStr">
        <is>
          <t>4-221-223</t>
        </is>
      </c>
    </row>
    <row r="160" ht="30" customHeight="1">
      <c r="A160" s="4" t="inlineStr">
        <is>
          <t>Switchlar</t>
        </is>
      </c>
      <c r="B160" s="4" t="inlineStr">
        <is>
          <t>Zyxel GS1350-12HP tarmoq kommutatori — 10 ta gigabit port, 2 ta SFP port va PoE funksiyasi bilan</t>
        </is>
      </c>
      <c r="C160" s="5" t="inlineStr"/>
      <c r="D160" s="5" t="n">
        <v>4932928</v>
      </c>
      <c r="E160" s="5" t="n">
        <v>4404400</v>
      </c>
      <c r="F160" s="5" t="inlineStr"/>
      <c r="G160" s="5" t="inlineStr">
        <is>
          <t>Zyxel</t>
        </is>
      </c>
      <c r="H160" s="5">
        <f>HYPERLINK("https://itrix.uz/product/222", "🔗 Mahsulot sotib olish")</f>
        <v/>
      </c>
      <c r="I160" t="inlineStr">
        <is>
          <t>4-222-224</t>
        </is>
      </c>
    </row>
    <row r="161" ht="30" customHeight="1">
      <c r="A161" s="4" t="inlineStr">
        <is>
          <t>Switchlar</t>
        </is>
      </c>
      <c r="B161" s="4" t="inlineStr">
        <is>
          <t>Zyxel GS1350-18HP tarmoq kommutatori — 16 ta gigabit port, 2 ta SFP port va PoE funksiyasi bilan</t>
        </is>
      </c>
      <c r="C161" s="5" t="inlineStr"/>
      <c r="D161" s="5" t="n">
        <v>7263872</v>
      </c>
      <c r="E161" s="5" t="n">
        <v>6485600</v>
      </c>
      <c r="F161" s="5" t="inlineStr"/>
      <c r="G161" s="5" t="inlineStr">
        <is>
          <t>Zyxel</t>
        </is>
      </c>
      <c r="H161" s="5">
        <f>HYPERLINK("https://itrix.uz/product/223", "🔗 Mahsulot sotib olish")</f>
        <v/>
      </c>
      <c r="I161" t="inlineStr">
        <is>
          <t>4-223-225</t>
        </is>
      </c>
    </row>
    <row r="162">
      <c r="A162" s="4" t="inlineStr">
        <is>
          <t>Switchlar</t>
        </is>
      </c>
      <c r="B162" s="4" t="inlineStr">
        <is>
          <t>Zyxel GS1350-6HP 5G Zyxel GS1350-6HP boshqariladigan tarmoq kommutatori — 5 ta gigabit port, 1 ta SFP port va PoE funksiyasi bilanPoE Switch</t>
        </is>
      </c>
      <c r="C162" s="5" t="inlineStr"/>
      <c r="D162" s="5" t="n">
        <v>2642640</v>
      </c>
      <c r="E162" s="5" t="n">
        <v>2359500</v>
      </c>
      <c r="F162" s="5" t="inlineStr"/>
      <c r="G162" s="5" t="inlineStr">
        <is>
          <t>Zyxel</t>
        </is>
      </c>
      <c r="H162" s="5">
        <f>HYPERLINK("https://itrix.uz/product/225", "🔗 Mahsulot sotib olish")</f>
        <v/>
      </c>
      <c r="I162" t="inlineStr">
        <is>
          <t>4-225-227</t>
        </is>
      </c>
    </row>
    <row r="163" ht="30" customHeight="1">
      <c r="A163" s="4" t="inlineStr">
        <is>
          <t>Switchlar</t>
        </is>
      </c>
      <c r="B163" s="4" t="inlineStr">
        <is>
          <t>Ubiquiti USW-Flex-2.5G-8 kommutatori</t>
        </is>
      </c>
      <c r="C163" s="5" t="inlineStr"/>
      <c r="D163" s="5" t="n">
        <v>3225918</v>
      </c>
      <c r="E163" s="5" t="n">
        <v>2880284</v>
      </c>
      <c r="F163" s="5" t="n">
        <v>2658733</v>
      </c>
      <c r="G163" s="5" t="inlineStr">
        <is>
          <t>UniFi UBIQUITI</t>
        </is>
      </c>
      <c r="H163" s="5">
        <f>HYPERLINK("https://itrix.uz/product/1426", "🔗 Mahsulot sotib olish")</f>
        <v/>
      </c>
      <c r="I163" t="inlineStr">
        <is>
          <t>4-1426-1126</t>
        </is>
      </c>
    </row>
    <row r="164" ht="30" customHeight="1">
      <c r="A164" s="4" t="inlineStr">
        <is>
          <t>Switchlar</t>
        </is>
      </c>
      <c r="B164" s="4" t="inlineStr">
        <is>
          <t>Dell EMC Networking N2248PX-ON boshqariladigan kommutatori</t>
        </is>
      </c>
      <c r="C164" s="5" t="inlineStr"/>
      <c r="D164" s="5" t="n">
        <v>20328000</v>
      </c>
      <c r="E164" s="5" t="n">
        <v>18150000</v>
      </c>
      <c r="F164" s="5" t="inlineStr"/>
      <c r="G164" s="5" t="inlineStr"/>
      <c r="H164" s="5">
        <f>HYPERLINK("https://itrix.uz/product/575", "🔗 Mahsulot sotib olish")</f>
        <v/>
      </c>
      <c r="I164" t="inlineStr">
        <is>
          <t>4-575-535</t>
        </is>
      </c>
    </row>
    <row r="165" ht="30" customHeight="1">
      <c r="A165" s="4" t="inlineStr">
        <is>
          <t>Switchlar</t>
        </is>
      </c>
      <c r="B165" s="4" t="inlineStr">
        <is>
          <t>2-darajali boshqariladigan kommutator SNR-S2982G-24TE-REF</t>
        </is>
      </c>
      <c r="C165" s="5" t="inlineStr"/>
      <c r="D165" s="5" t="n">
        <v>3157616</v>
      </c>
      <c r="E165" s="5" t="n">
        <v>2819300</v>
      </c>
      <c r="F165" s="5" t="inlineStr"/>
      <c r="G165" s="5" t="inlineStr">
        <is>
          <t>SNR</t>
        </is>
      </c>
      <c r="H165" s="5">
        <f>HYPERLINK("https://itrix.uz/product/818", "🔗 Mahsulot sotib olish")</f>
        <v/>
      </c>
      <c r="I165" t="inlineStr">
        <is>
          <t>4-818-757</t>
        </is>
      </c>
    </row>
    <row r="166" ht="30" customHeight="1">
      <c r="A166" s="4" t="inlineStr">
        <is>
          <t>Switchlar</t>
        </is>
      </c>
      <c r="B166" s="4" t="inlineStr">
        <is>
          <t>SNR-S2989G-8TX-POE 2-darajali PoE boshqariladigan kommutator</t>
        </is>
      </c>
      <c r="C166" s="5" t="inlineStr"/>
      <c r="D166" s="5" t="n">
        <v>4607680</v>
      </c>
      <c r="E166" s="5" t="n">
        <v>4114000</v>
      </c>
      <c r="F166" s="5" t="inlineStr"/>
      <c r="G166" s="5" t="inlineStr">
        <is>
          <t>SNR</t>
        </is>
      </c>
      <c r="H166" s="5">
        <f>HYPERLINK("https://itrix.uz/product/819", "🔗 Mahsulot sotib olish")</f>
        <v/>
      </c>
      <c r="I166" t="inlineStr">
        <is>
          <t>4-819-758</t>
        </is>
      </c>
    </row>
    <row r="167" ht="30" customHeight="1">
      <c r="A167" s="4" t="inlineStr">
        <is>
          <t>Switchlar</t>
        </is>
      </c>
      <c r="B167" s="4" t="inlineStr">
        <is>
          <t>Ubiquiti UniFi Switch Pro XG 48 PoE boshqariladigan kommutatori</t>
        </is>
      </c>
      <c r="C167" s="5" t="inlineStr"/>
      <c r="D167" s="5" t="n">
        <v>43449880</v>
      </c>
      <c r="E167" s="5" t="n">
        <v>38794536</v>
      </c>
      <c r="F167" s="5" t="n">
        <v>35810313</v>
      </c>
      <c r="G167" s="5" t="inlineStr">
        <is>
          <t>UniFi UBIQUITI</t>
        </is>
      </c>
      <c r="H167" s="5">
        <f>HYPERLINK("https://itrix.uz/product/1436", "🔗 Mahsulot sotib olish")</f>
        <v/>
      </c>
      <c r="I167" t="inlineStr">
        <is>
          <t>4-1436-1136</t>
        </is>
      </c>
    </row>
    <row r="168" ht="30" customHeight="1">
      <c r="A168" s="4" t="inlineStr">
        <is>
          <t>Switchlar</t>
        </is>
      </c>
      <c r="B168" s="4" t="inlineStr">
        <is>
          <t>SNR-S2989G-8TX 2-darajali boshqariladigan kommutator</t>
        </is>
      </c>
      <c r="C168" s="5" t="inlineStr"/>
      <c r="D168" s="5" t="n">
        <v>2635593</v>
      </c>
      <c r="E168" s="5" t="n">
        <v>2353208</v>
      </c>
      <c r="F168" s="5" t="inlineStr"/>
      <c r="G168" s="5" t="inlineStr">
        <is>
          <t>SNR</t>
        </is>
      </c>
      <c r="H168" s="5">
        <f>HYPERLINK("https://itrix.uz/product/820", "🔗 Mahsulot sotib olish")</f>
        <v/>
      </c>
      <c r="I168" t="inlineStr">
        <is>
          <t>4-820-759</t>
        </is>
      </c>
    </row>
    <row r="169" ht="30" customHeight="1">
      <c r="A169" s="4" t="inlineStr">
        <is>
          <t>Switchlar</t>
        </is>
      </c>
      <c r="B169" s="4" t="inlineStr">
        <is>
          <t>Grandstream GWN7813 boshqariladigan kommutatori</t>
        </is>
      </c>
      <c r="C169" s="5" t="inlineStr"/>
      <c r="D169" s="5" t="n">
        <v>4293274</v>
      </c>
      <c r="E169" s="5" t="n">
        <v>3833280</v>
      </c>
      <c r="F169" s="5" t="inlineStr"/>
      <c r="G169" s="5" t="inlineStr">
        <is>
          <t>Grandstream</t>
        </is>
      </c>
      <c r="H169" s="5">
        <f>HYPERLINK("https://itrix.uz/product/976", "🔗 Mahsulot sotib olish")</f>
        <v/>
      </c>
      <c r="I169" t="inlineStr">
        <is>
          <t>4-976-865</t>
        </is>
      </c>
    </row>
    <row r="170" ht="30" customHeight="1">
      <c r="A170" s="4" t="inlineStr">
        <is>
          <t>Switchlar</t>
        </is>
      </c>
      <c r="B170" s="4" t="inlineStr">
        <is>
          <t>MikroTik CRS112-8P-4S-IN PoE Kommutator</t>
        </is>
      </c>
      <c r="C170" s="5" t="inlineStr"/>
      <c r="D170" s="5" t="n">
        <v>3100020</v>
      </c>
      <c r="E170" s="5" t="n">
        <v>2767875</v>
      </c>
      <c r="F170" s="5" t="n">
        <v>2554915</v>
      </c>
      <c r="G170" s="5" t="inlineStr">
        <is>
          <t>Mikrotik</t>
        </is>
      </c>
      <c r="H170" s="5">
        <f>HYPERLINK("https://itrix.uz/product/1299", "🔗 Mahsulot sotib olish")</f>
        <v/>
      </c>
      <c r="I170" t="inlineStr">
        <is>
          <t>4-1299-1006</t>
        </is>
      </c>
    </row>
    <row r="171" ht="30" customHeight="1">
      <c r="A171" s="4" t="inlineStr">
        <is>
          <t>Switchlar</t>
        </is>
      </c>
      <c r="B171" s="4" t="inlineStr">
        <is>
          <t>Grandstream GWN7816 kommutatori</t>
        </is>
      </c>
      <c r="C171" s="5" t="inlineStr"/>
      <c r="D171" s="5" t="n">
        <v>8911795</v>
      </c>
      <c r="E171" s="5" t="n">
        <v>7956960</v>
      </c>
      <c r="F171" s="5" t="inlineStr"/>
      <c r="G171" s="5" t="inlineStr">
        <is>
          <t>Grandstream</t>
        </is>
      </c>
      <c r="H171" s="5">
        <f>HYPERLINK("https://itrix.uz/product/978", "🔗 Mahsulot sotib olish")</f>
        <v/>
      </c>
      <c r="I171" t="inlineStr">
        <is>
          <t>4-978-867</t>
        </is>
      </c>
    </row>
    <row r="172" ht="30" customHeight="1">
      <c r="A172" s="4" t="inlineStr">
        <is>
          <t>Switchlar</t>
        </is>
      </c>
      <c r="B172" s="4" t="inlineStr">
        <is>
          <t>Boshqariladigan kommutator Grandstream GWN7816P</t>
        </is>
      </c>
      <c r="C172" s="5" t="inlineStr"/>
      <c r="D172" s="5" t="n">
        <v>17286931</v>
      </c>
      <c r="E172" s="5" t="n">
        <v>15434760</v>
      </c>
      <c r="F172" s="5" t="inlineStr"/>
      <c r="G172" s="5" t="inlineStr">
        <is>
          <t>Grandstream</t>
        </is>
      </c>
      <c r="H172" s="5">
        <f>HYPERLINK("https://itrix.uz/product/979", "🔗 Mahsulot sotib olish")</f>
        <v/>
      </c>
      <c r="I172" t="inlineStr">
        <is>
          <t>4-979-868</t>
        </is>
      </c>
    </row>
    <row r="173" ht="30" customHeight="1">
      <c r="A173" s="4" t="inlineStr">
        <is>
          <t>Switchlar</t>
        </is>
      </c>
      <c r="B173" s="4" t="inlineStr">
        <is>
          <t>SNR-S2989G-24TX-UPS 2-darajali boshqariladigan kommutator</t>
        </is>
      </c>
      <c r="C173" s="5" t="inlineStr"/>
      <c r="D173" s="5" t="n">
        <v>5337184</v>
      </c>
      <c r="E173" s="5" t="n">
        <v>4765343</v>
      </c>
      <c r="F173" s="5" t="inlineStr"/>
      <c r="G173" s="5" t="inlineStr">
        <is>
          <t>SNR</t>
        </is>
      </c>
      <c r="H173" s="5">
        <f>HYPERLINK("https://itrix.uz/product/826", "🔗 Mahsulot sotib olish")</f>
        <v/>
      </c>
      <c r="I173" t="inlineStr">
        <is>
          <t>4-826-760</t>
        </is>
      </c>
    </row>
    <row r="174" ht="30" customHeight="1">
      <c r="A174" s="4" t="inlineStr">
        <is>
          <t>Switchlar</t>
        </is>
      </c>
      <c r="B174" s="4" t="inlineStr">
        <is>
          <t>SNR-S2982G-24T-POE-E 2-darajali PoE boshqariladigan kommutator</t>
        </is>
      </c>
      <c r="C174" s="5" t="inlineStr"/>
      <c r="D174" s="5" t="n">
        <v>9158848</v>
      </c>
      <c r="E174" s="5" t="n">
        <v>8177543</v>
      </c>
      <c r="F174" s="5" t="inlineStr"/>
      <c r="G174" s="5" t="inlineStr">
        <is>
          <t>SNR</t>
        </is>
      </c>
      <c r="H174" s="5">
        <f>HYPERLINK("https://itrix.uz/product/827", "🔗 Mahsulot sotib olish")</f>
        <v/>
      </c>
      <c r="I174" t="inlineStr">
        <is>
          <t>4-827-761</t>
        </is>
      </c>
    </row>
    <row r="175" ht="30" customHeight="1">
      <c r="A175" s="4" t="inlineStr">
        <is>
          <t>Switchlar</t>
        </is>
      </c>
      <c r="B175" s="4" t="inlineStr">
        <is>
          <t>SNR-S215Gi-8T-POE 2-darajali sanoat PoE boshqariladigan kommutator</t>
        </is>
      </c>
      <c r="C175" s="5" t="inlineStr"/>
      <c r="D175" s="5" t="n">
        <v>3953389</v>
      </c>
      <c r="E175" s="5" t="n">
        <v>3529812</v>
      </c>
      <c r="F175" s="5" t="inlineStr"/>
      <c r="G175" s="5" t="inlineStr">
        <is>
          <t>SNR</t>
        </is>
      </c>
      <c r="H175" s="5">
        <f>HYPERLINK("https://itrix.uz/product/828", "🔗 Mahsulot sotib olish")</f>
        <v/>
      </c>
      <c r="I175" t="inlineStr">
        <is>
          <t>4-828-762</t>
        </is>
      </c>
    </row>
    <row r="176" ht="30" customHeight="1">
      <c r="A176" s="4" t="inlineStr">
        <is>
          <t>Switchlar</t>
        </is>
      </c>
      <c r="B176" s="4" t="inlineStr">
        <is>
          <t>SNR-S1908G-2S boshqarilmaydigan kommutator</t>
        </is>
      </c>
      <c r="C176" s="5" t="inlineStr"/>
      <c r="D176" s="5" t="n">
        <v>752272</v>
      </c>
      <c r="E176" s="5" t="n">
        <v>671671</v>
      </c>
      <c r="F176" s="5" t="inlineStr"/>
      <c r="G176" s="5" t="inlineStr">
        <is>
          <t>SNR</t>
        </is>
      </c>
      <c r="H176" s="5">
        <f>HYPERLINK("https://itrix.uz/product/835", "🔗 Mahsulot sotib olish")</f>
        <v/>
      </c>
      <c r="I176" t="inlineStr">
        <is>
          <t>4-835-767</t>
        </is>
      </c>
    </row>
    <row r="177" ht="30" customHeight="1">
      <c r="A177" s="4" t="inlineStr">
        <is>
          <t>Switchlar</t>
        </is>
      </c>
      <c r="B177" s="4" t="inlineStr">
        <is>
          <t>SNR-S1904G-2S boshqarilmaydigan kommutator</t>
        </is>
      </c>
      <c r="C177" s="5" t="inlineStr"/>
      <c r="D177" s="5" t="n">
        <v>658898</v>
      </c>
      <c r="E177" s="5" t="n">
        <v>588302</v>
      </c>
      <c r="F177" s="5" t="inlineStr"/>
      <c r="G177" s="5" t="inlineStr">
        <is>
          <t>SNR</t>
        </is>
      </c>
      <c r="H177" s="5">
        <f>HYPERLINK("https://itrix.uz/product/836", "🔗 Mahsulot sotib olish")</f>
        <v/>
      </c>
      <c r="I177" t="inlineStr">
        <is>
          <t>4-836-768</t>
        </is>
      </c>
    </row>
    <row r="178" ht="30" customHeight="1">
      <c r="A178" s="4" t="inlineStr">
        <is>
          <t>Switchlar</t>
        </is>
      </c>
      <c r="B178" s="4" t="inlineStr">
        <is>
          <t>MikroTik CRS317-1G-16S+RM kommutatori</t>
        </is>
      </c>
      <c r="C178" s="5" t="inlineStr"/>
      <c r="D178" s="5" t="n">
        <v>7157624</v>
      </c>
      <c r="E178" s="5" t="n">
        <v>6390736</v>
      </c>
      <c r="F178" s="5" t="n">
        <v>5899113</v>
      </c>
      <c r="G178" s="5" t="inlineStr">
        <is>
          <t>Mikrotik</t>
        </is>
      </c>
      <c r="H178" s="5">
        <f>HYPERLINK("https://itrix.uz/product/1300", "🔗 Mahsulot sotib olish")</f>
        <v/>
      </c>
      <c r="I178" t="inlineStr">
        <is>
          <t>4-1300-1007</t>
        </is>
      </c>
    </row>
    <row r="179" ht="30" customHeight="1">
      <c r="A179" s="4" t="inlineStr">
        <is>
          <t>Tarmoq qurilmalari</t>
        </is>
      </c>
      <c r="B179" s="4" t="inlineStr">
        <is>
          <t>Ubiquiti NanoStation Loco M5 tashqi kirish nuqtasi</t>
        </is>
      </c>
      <c r="C179" s="5" t="inlineStr"/>
      <c r="D179" s="5" t="n">
        <v>1008133</v>
      </c>
      <c r="E179" s="5" t="n">
        <v>900119</v>
      </c>
      <c r="F179" s="5" t="n">
        <v>830907</v>
      </c>
      <c r="G179" s="5" t="inlineStr">
        <is>
          <t>UniFi UBIQUITI</t>
        </is>
      </c>
      <c r="H179" s="5">
        <f>HYPERLINK("https://itrix.uz/product/1351", "🔗 Mahsulot sotib olish")</f>
        <v/>
      </c>
      <c r="I179" t="inlineStr">
        <is>
          <t>4-1351-1051</t>
        </is>
      </c>
    </row>
    <row r="180" ht="30" customHeight="1">
      <c r="A180" s="4" t="inlineStr">
        <is>
          <t>Switchlar</t>
        </is>
      </c>
      <c r="B180" s="4" t="inlineStr">
        <is>
          <t xml:space="preserve"> 2 darajali boshqariladigan kommutator SNR-S2989G-24TX</t>
        </is>
      </c>
      <c r="C180" s="5" t="inlineStr"/>
      <c r="D180" s="5" t="n">
        <v>4216976</v>
      </c>
      <c r="E180" s="5" t="n">
        <v>3765157</v>
      </c>
      <c r="F180" s="5" t="inlineStr"/>
      <c r="G180" s="5" t="inlineStr">
        <is>
          <t>SNR</t>
        </is>
      </c>
      <c r="H180" s="5">
        <f>HYPERLINK("https://itrix.uz/product/432", "🔗 Mahsulot sotib olish")</f>
        <v/>
      </c>
      <c r="I180" t="inlineStr">
        <is>
          <t>4-432-416</t>
        </is>
      </c>
    </row>
    <row r="181" ht="30" customHeight="1">
      <c r="A181" s="4" t="inlineStr">
        <is>
          <t>Switchlar</t>
        </is>
      </c>
      <c r="B181" s="4" t="inlineStr">
        <is>
          <t>Kommutator MikroTik CRS318-16P-2S+OUT</t>
        </is>
      </c>
      <c r="C181" s="5" t="inlineStr"/>
      <c r="D181" s="5" t="n">
        <v>4082947</v>
      </c>
      <c r="E181" s="5" t="n">
        <v>3645488</v>
      </c>
      <c r="F181" s="5" t="n">
        <v>3365010</v>
      </c>
      <c r="G181" s="5" t="inlineStr">
        <is>
          <t>Mikrotik</t>
        </is>
      </c>
      <c r="H181" s="5">
        <f>HYPERLINK("https://itrix.uz/product/1301", "🔗 Mahsulot sotib olish")</f>
        <v/>
      </c>
      <c r="I181" t="inlineStr">
        <is>
          <t>4-1301-1008</t>
        </is>
      </c>
    </row>
    <row r="182" ht="30" customHeight="1">
      <c r="A182" s="4" t="inlineStr">
        <is>
          <t>Switchlar</t>
        </is>
      </c>
      <c r="B182" s="4" t="inlineStr">
        <is>
          <t>Ubiquiti UniFi USW-Pro-XG-Aggregation kommutatori</t>
        </is>
      </c>
      <c r="C182" s="5" t="inlineStr"/>
      <c r="D182" s="5" t="n">
        <v>42996295</v>
      </c>
      <c r="E182" s="5" t="n">
        <v>38389549</v>
      </c>
      <c r="F182" s="5" t="n">
        <v>35436423</v>
      </c>
      <c r="G182" s="5" t="inlineStr">
        <is>
          <t>UniFi UBIQUITI</t>
        </is>
      </c>
      <c r="H182" s="5">
        <f>HYPERLINK("https://itrix.uz/product/1437", "🔗 Mahsulot sotib olish")</f>
        <v/>
      </c>
      <c r="I182" t="inlineStr">
        <is>
          <t>4-1437-1137</t>
        </is>
      </c>
    </row>
    <row r="183" ht="30" customHeight="1">
      <c r="A183" s="4" t="inlineStr">
        <is>
          <t>Tarmoq qurilmalari</t>
        </is>
      </c>
      <c r="B183" s="4" t="inlineStr">
        <is>
          <t>Ubiquiti UVC-Ai-Dome-W IP kuzatuv kamerasi</t>
        </is>
      </c>
      <c r="C183" s="5" t="inlineStr"/>
      <c r="D183" s="5" t="n">
        <v>7258451</v>
      </c>
      <c r="E183" s="5" t="n">
        <v>6480760</v>
      </c>
      <c r="F183" s="5" t="n">
        <v>5982240</v>
      </c>
      <c r="G183" s="5" t="inlineStr">
        <is>
          <t>UniFi UBIQUITI</t>
        </is>
      </c>
      <c r="H183" s="5">
        <f>HYPERLINK("https://itrix.uz/product/1441", "🔗 Mahsulot sotib olish")</f>
        <v/>
      </c>
      <c r="I183" t="inlineStr">
        <is>
          <t>4-1441-1141</t>
        </is>
      </c>
    </row>
    <row r="184" ht="30" customHeight="1">
      <c r="A184" s="4" t="inlineStr">
        <is>
          <t>Tarmoq qurilmalari</t>
        </is>
      </c>
      <c r="B184" s="4" t="inlineStr">
        <is>
          <t>Ubiquiti G6 PTZ White kamerasi (UVC-G6-PTZ-W)</t>
        </is>
      </c>
      <c r="C184" s="5" t="inlineStr"/>
      <c r="D184" s="5" t="n">
        <v>7359278</v>
      </c>
      <c r="E184" s="5" t="n">
        <v>6570784</v>
      </c>
      <c r="F184" s="5" t="n">
        <v>6065367</v>
      </c>
      <c r="G184" s="5" t="inlineStr">
        <is>
          <t>UniFi UBIQUITI</t>
        </is>
      </c>
      <c r="H184" s="5">
        <f>HYPERLINK("https://itrix.uz/product/1451", "🔗 Mahsulot sotib olish")</f>
        <v/>
      </c>
      <c r="I184" t="inlineStr">
        <is>
          <t>4-1451-1151</t>
        </is>
      </c>
    </row>
    <row r="185" ht="30" customHeight="1">
      <c r="A185" s="4" t="inlineStr">
        <is>
          <t>Switchlar</t>
        </is>
      </c>
      <c r="B185" s="4" t="inlineStr">
        <is>
          <t>MikroTik CRS326-24S+2Q+RM kommutatori</t>
        </is>
      </c>
      <c r="C185" s="5" t="inlineStr"/>
      <c r="D185" s="5" t="n">
        <v>8316998</v>
      </c>
      <c r="E185" s="5" t="n">
        <v>7425891</v>
      </c>
      <c r="F185" s="5" t="n">
        <v>6854650</v>
      </c>
      <c r="G185" s="5" t="inlineStr">
        <is>
          <t>Mikrotik</t>
        </is>
      </c>
      <c r="H185" s="5">
        <f>HYPERLINK("https://itrix.uz/product/1302", "🔗 Mahsulot sotib olish")</f>
        <v/>
      </c>
      <c r="I185" t="inlineStr">
        <is>
          <t>4-1302-1009</t>
        </is>
      </c>
    </row>
    <row r="186" ht="30" customHeight="1">
      <c r="A186" s="4" t="inlineStr">
        <is>
          <t>Tarmoq qurilmalari</t>
        </is>
      </c>
      <c r="B186" s="4" t="inlineStr">
        <is>
          <t xml:space="preserve">Ubiquiti U-Cable-Patch-0.1M RJ45-Blue patch kabeli ko‘k </t>
        </is>
      </c>
      <c r="C186" s="5" t="inlineStr"/>
      <c r="D186" s="5" t="n">
        <v>55428</v>
      </c>
      <c r="E186" s="5" t="n">
        <v>49489</v>
      </c>
      <c r="F186" s="5" t="n">
        <v>45738</v>
      </c>
      <c r="G186" s="5" t="inlineStr">
        <is>
          <t>UniFi UBIQUITI</t>
        </is>
      </c>
      <c r="H186" s="5">
        <f>HYPERLINK("https://itrix.uz/product/1396", "🔗 Mahsulot sotib olish")</f>
        <v/>
      </c>
      <c r="I186" t="inlineStr">
        <is>
          <t>4-1396-1096</t>
        </is>
      </c>
    </row>
    <row r="187" ht="30" customHeight="1">
      <c r="A187" s="4" t="inlineStr">
        <is>
          <t>Telekommunikatsiya shkaflari</t>
        </is>
      </c>
      <c r="B187" s="4" t="inlineStr">
        <is>
          <t xml:space="preserve">Telekommunikatsion devor shkafi 12U, 600x600x635 (KxChxB) </t>
        </is>
      </c>
      <c r="C187" s="5" t="inlineStr"/>
      <c r="D187" s="5" t="n">
        <v>2078741</v>
      </c>
      <c r="E187" s="5" t="n">
        <v>1856019</v>
      </c>
      <c r="F187" s="5" t="inlineStr"/>
      <c r="G187" s="5" t="inlineStr">
        <is>
          <t>SNR</t>
        </is>
      </c>
      <c r="H187" s="5">
        <f>HYPERLINK("https://itrix.uz/product/897", "🔗 Mahsulot sotib olish")</f>
        <v/>
      </c>
      <c r="I187" t="inlineStr">
        <is>
          <t>4-897-787</t>
        </is>
      </c>
    </row>
    <row r="188" ht="30" customHeight="1">
      <c r="A188" s="4" t="inlineStr">
        <is>
          <t>Switchlar</t>
        </is>
      </c>
      <c r="B188" s="4" t="inlineStr">
        <is>
          <t>Boshqarilmaydigan kommutator  SNR-S1904G-1S</t>
        </is>
      </c>
      <c r="C188" s="5" t="inlineStr"/>
      <c r="D188" s="5" t="n">
        <v>527037</v>
      </c>
      <c r="E188" s="5" t="n">
        <v>470569</v>
      </c>
      <c r="F188" s="5" t="inlineStr"/>
      <c r="G188" s="5" t="inlineStr">
        <is>
          <t>SNR</t>
        </is>
      </c>
      <c r="H188" s="5">
        <f>HYPERLINK("https://itrix.uz/product/881", "🔗 Mahsulot sotib olish")</f>
        <v/>
      </c>
      <c r="I188" t="inlineStr">
        <is>
          <t>4-881-769</t>
        </is>
      </c>
    </row>
    <row r="189" ht="30" customHeight="1">
      <c r="A189" s="4" t="inlineStr">
        <is>
          <t>Switchlar</t>
        </is>
      </c>
      <c r="B189" s="4" t="inlineStr">
        <is>
          <t>MikroTik CRS328-24P-4S+RM kommutatori</t>
        </is>
      </c>
      <c r="C189" s="5" t="inlineStr"/>
      <c r="D189" s="5" t="n">
        <v>7812864</v>
      </c>
      <c r="E189" s="5" t="n">
        <v>6975771</v>
      </c>
      <c r="F189" s="5" t="n">
        <v>6439257</v>
      </c>
      <c r="G189" s="5" t="inlineStr">
        <is>
          <t>Mikrotik</t>
        </is>
      </c>
      <c r="H189" s="5">
        <f>HYPERLINK("https://itrix.uz/product/1303", "🔗 Mahsulot sotib olish")</f>
        <v/>
      </c>
      <c r="I189" t="inlineStr">
        <is>
          <t>4-1303-1010</t>
        </is>
      </c>
    </row>
    <row r="190" ht="30" customHeight="1">
      <c r="A190" s="4" t="inlineStr">
        <is>
          <t>Tarmoq qurilmalari</t>
        </is>
      </c>
      <c r="B190" s="4" t="inlineStr">
        <is>
          <t>Ubiquiti UACC-OM-MM-10G-D-2 optik transiveri</t>
        </is>
      </c>
      <c r="C190" s="5" t="inlineStr"/>
      <c r="D190" s="5" t="n">
        <v>781273</v>
      </c>
      <c r="E190" s="5" t="n">
        <v>697565</v>
      </c>
      <c r="F190" s="5" t="n">
        <v>643962</v>
      </c>
      <c r="G190" s="5" t="inlineStr">
        <is>
          <t>UniFi UBIQUITI</t>
        </is>
      </c>
      <c r="H190" s="5">
        <f>HYPERLINK("https://itrix.uz/product/1383", "🔗 Mahsulot sotib olish")</f>
        <v/>
      </c>
      <c r="I190" t="inlineStr">
        <is>
          <t>4-1383-1083</t>
        </is>
      </c>
    </row>
    <row r="191" ht="30" customHeight="1">
      <c r="A191" s="4" t="inlineStr">
        <is>
          <t>Switchlar</t>
        </is>
      </c>
      <c r="B191" s="4" t="inlineStr">
        <is>
          <t>SNR-S1100G-8T boshqarilmaydigan kommutator</t>
        </is>
      </c>
      <c r="C191" s="5" t="inlineStr"/>
      <c r="D191" s="5" t="n">
        <v>305327</v>
      </c>
      <c r="E191" s="5" t="n">
        <v>272613</v>
      </c>
      <c r="F191" s="5" t="inlineStr"/>
      <c r="G191" s="5" t="inlineStr">
        <is>
          <t>SNR</t>
        </is>
      </c>
      <c r="H191" s="5">
        <f>HYPERLINK("https://itrix.uz/product/829", "🔗 Mahsulot sotib olish")</f>
        <v/>
      </c>
      <c r="I191" t="inlineStr">
        <is>
          <t>4-829-763</t>
        </is>
      </c>
    </row>
    <row r="192" ht="30" customHeight="1">
      <c r="A192" s="4" t="inlineStr">
        <is>
          <t>Switchlar</t>
        </is>
      </c>
      <c r="B192" s="4" t="inlineStr">
        <is>
          <t>MikroTik CRS328-4C-20S-4S+RM комmutator</t>
        </is>
      </c>
      <c r="C192" s="5" t="inlineStr"/>
      <c r="D192" s="5" t="n">
        <v>6754452</v>
      </c>
      <c r="E192" s="5" t="n">
        <v>6030761</v>
      </c>
      <c r="F192" s="5" t="n">
        <v>5566847</v>
      </c>
      <c r="G192" s="5" t="inlineStr">
        <is>
          <t>Mikrotik</t>
        </is>
      </c>
      <c r="H192" s="5">
        <f>HYPERLINK("https://itrix.uz/product/1304", "🔗 Mahsulot sotib olish")</f>
        <v/>
      </c>
      <c r="I192" t="inlineStr">
        <is>
          <t>4-1304-1011</t>
        </is>
      </c>
    </row>
    <row r="193" ht="30" customHeight="1">
      <c r="A193" s="4" t="inlineStr">
        <is>
          <t>Switchlar</t>
        </is>
      </c>
      <c r="B193" s="4" t="inlineStr">
        <is>
          <t>SNR-S1908-1GS boshqarilmaydigan kommutator</t>
        </is>
      </c>
      <c r="C193" s="5" t="inlineStr"/>
      <c r="D193" s="5" t="n">
        <v>649818</v>
      </c>
      <c r="E193" s="5" t="n">
        <v>580195</v>
      </c>
      <c r="F193" s="5" t="inlineStr"/>
      <c r="G193" s="5" t="inlineStr">
        <is>
          <t>SNR</t>
        </is>
      </c>
      <c r="H193" s="5">
        <f>HYPERLINK("https://itrix.uz/product/832", "🔗 Mahsulot sotib olish")</f>
        <v/>
      </c>
      <c r="I193" t="inlineStr">
        <is>
          <t>4-832-766</t>
        </is>
      </c>
    </row>
    <row r="194" ht="30" customHeight="1">
      <c r="A194" s="4" t="inlineStr">
        <is>
          <t>Switchlar</t>
        </is>
      </c>
      <c r="B194" s="4" t="inlineStr">
        <is>
          <t>SNR-S1100G-5T boshqarilmaydigan kommutator</t>
        </is>
      </c>
      <c r="C194" s="5" t="inlineStr"/>
      <c r="D194" s="5" t="n">
        <v>216832</v>
      </c>
      <c r="E194" s="5" t="n">
        <v>193600</v>
      </c>
      <c r="F194" s="5" t="inlineStr"/>
      <c r="G194" s="5" t="inlineStr">
        <is>
          <t>SNR</t>
        </is>
      </c>
      <c r="H194" s="5">
        <f>HYPERLINK("https://itrix.uz/product/830", "🔗 Mahsulot sotib olish")</f>
        <v/>
      </c>
      <c r="I194" t="inlineStr">
        <is>
          <t>4-830-764</t>
        </is>
      </c>
    </row>
    <row r="195" ht="30" customHeight="1">
      <c r="A195" s="4" t="inlineStr">
        <is>
          <t>Switchlar</t>
        </is>
      </c>
      <c r="B195" s="4" t="inlineStr">
        <is>
          <t>SNR-S1000-8T boshqarilmaydigan kommutator</t>
        </is>
      </c>
      <c r="C195" s="5" t="inlineStr"/>
      <c r="D195" s="5" t="n">
        <v>159236</v>
      </c>
      <c r="E195" s="5" t="n">
        <v>142175</v>
      </c>
      <c r="F195" s="5" t="inlineStr"/>
      <c r="G195" s="5" t="inlineStr">
        <is>
          <t>SNR</t>
        </is>
      </c>
      <c r="H195" s="5">
        <f>HYPERLINK("https://itrix.uz/product/831", "🔗 Mahsulot sotib olish")</f>
        <v/>
      </c>
      <c r="I195" t="inlineStr">
        <is>
          <t>4-831-765</t>
        </is>
      </c>
    </row>
    <row r="196" ht="30" customHeight="1">
      <c r="A196" s="4" t="inlineStr">
        <is>
          <t>Switchlar</t>
        </is>
      </c>
      <c r="B196" s="4" t="inlineStr">
        <is>
          <t>Tarmoq kommutatori Grandstream GWN7700</t>
        </is>
      </c>
      <c r="C196" s="5" t="inlineStr"/>
      <c r="D196" s="5" t="n">
        <v>227674</v>
      </c>
      <c r="E196" s="5" t="n">
        <v>203280</v>
      </c>
      <c r="F196" s="5" t="inlineStr"/>
      <c r="G196" s="5" t="inlineStr">
        <is>
          <t>Grandstream</t>
        </is>
      </c>
      <c r="H196" s="5">
        <f>HYPERLINK("https://itrix.uz/product/953", "🔗 Mahsulot sotib olish")</f>
        <v/>
      </c>
      <c r="I196" t="inlineStr">
        <is>
          <t>4-953-842</t>
        </is>
      </c>
    </row>
    <row r="197" ht="30" customHeight="1">
      <c r="A197" s="4" t="inlineStr">
        <is>
          <t>Switchlar</t>
        </is>
      </c>
      <c r="B197" s="4" t="inlineStr">
        <is>
          <t>Boshqarilmaydigan kommutator Grandstream GWN7700P</t>
        </is>
      </c>
      <c r="C197" s="5" t="inlineStr"/>
      <c r="D197" s="5" t="n">
        <v>715546</v>
      </c>
      <c r="E197" s="5" t="n">
        <v>638880</v>
      </c>
      <c r="F197" s="5" t="inlineStr"/>
      <c r="G197" s="5" t="inlineStr">
        <is>
          <t>Grandstream</t>
        </is>
      </c>
      <c r="H197" s="5">
        <f>HYPERLINK("https://itrix.uz/product/954", "🔗 Mahsulot sotib olish")</f>
        <v/>
      </c>
      <c r="I197" t="inlineStr">
        <is>
          <t>4-954-843</t>
        </is>
      </c>
    </row>
    <row r="198" ht="30" customHeight="1">
      <c r="A198" s="4" t="inlineStr">
        <is>
          <t>Switchlar</t>
        </is>
      </c>
      <c r="B198" s="4" t="inlineStr">
        <is>
          <t>Boshqarilmaydigan multi-gigabit kommutatori Grandsteam GWN7701M</t>
        </is>
      </c>
      <c r="C198" s="5" t="inlineStr"/>
      <c r="D198" s="5" t="n">
        <v>1366042</v>
      </c>
      <c r="E198" s="5" t="n">
        <v>1219680</v>
      </c>
      <c r="F198" s="5" t="inlineStr"/>
      <c r="G198" s="5" t="inlineStr">
        <is>
          <t>Grandstream</t>
        </is>
      </c>
      <c r="H198" s="5">
        <f>HYPERLINK("https://itrix.uz/product/956", "🔗 Mahsulot sotib olish")</f>
        <v/>
      </c>
      <c r="I198" t="inlineStr">
        <is>
          <t>4-956-845</t>
        </is>
      </c>
    </row>
    <row r="199" ht="30" customHeight="1">
      <c r="A199" s="4" t="inlineStr">
        <is>
          <t>Switchlar</t>
        </is>
      </c>
      <c r="B199" s="4" t="inlineStr">
        <is>
          <t>Kommutator Mikrotik CRS354-48P-4S+2Q+RM</t>
        </is>
      </c>
      <c r="C199" s="5" t="inlineStr"/>
      <c r="D199" s="5" t="n">
        <v>13962490</v>
      </c>
      <c r="E199" s="5" t="n">
        <v>12466509</v>
      </c>
      <c r="F199" s="5" t="n">
        <v>11507463</v>
      </c>
      <c r="G199" s="5" t="inlineStr">
        <is>
          <t>Mikrotik</t>
        </is>
      </c>
      <c r="H199" s="5">
        <f>HYPERLINK("https://itrix.uz/product/1305", "🔗 Mahsulot sotib olish")</f>
        <v/>
      </c>
      <c r="I199" t="inlineStr">
        <is>
          <t>4-1305-1012</t>
        </is>
      </c>
    </row>
    <row r="200" ht="30" customHeight="1">
      <c r="A200" s="4" t="inlineStr">
        <is>
          <t>Switchlar</t>
        </is>
      </c>
      <c r="B200" s="4" t="inlineStr">
        <is>
          <t xml:space="preserve">Boshqarilmaydigan kommutator Grandstream GWN7701P  </t>
        </is>
      </c>
      <c r="C200" s="5" t="inlineStr"/>
      <c r="D200" s="5" t="n">
        <v>894432</v>
      </c>
      <c r="E200" s="5" t="n">
        <v>798600</v>
      </c>
      <c r="F200" s="5" t="inlineStr"/>
      <c r="G200" s="5" t="inlineStr">
        <is>
          <t>Grandstream</t>
        </is>
      </c>
      <c r="H200" s="5">
        <f>HYPERLINK("https://itrix.uz/product/957", "🔗 Mahsulot sotib olish")</f>
        <v/>
      </c>
      <c r="I200" t="inlineStr">
        <is>
          <t>4-957-846</t>
        </is>
      </c>
    </row>
    <row r="201" ht="30" customHeight="1">
      <c r="A201" s="4" t="inlineStr">
        <is>
          <t>Switchlar</t>
        </is>
      </c>
      <c r="B201" s="4" t="inlineStr">
        <is>
          <t>Grandstream GWN7702 kommutatori</t>
        </is>
      </c>
      <c r="C201" s="5" t="inlineStr"/>
      <c r="D201" s="5" t="n">
        <v>1187155</v>
      </c>
      <c r="E201" s="5" t="n">
        <v>1059960</v>
      </c>
      <c r="F201" s="5" t="inlineStr"/>
      <c r="G201" s="5" t="inlineStr">
        <is>
          <t>Grandstream</t>
        </is>
      </c>
      <c r="H201" s="5">
        <f>HYPERLINK("https://itrix.uz/product/959", "🔗 Mahsulot sotib olish")</f>
        <v/>
      </c>
      <c r="I201" t="inlineStr">
        <is>
          <t>4-959-848</t>
        </is>
      </c>
    </row>
    <row r="202" ht="30" customHeight="1">
      <c r="A202" s="4" t="inlineStr">
        <is>
          <t>Switchlar</t>
        </is>
      </c>
      <c r="B202" s="4" t="inlineStr">
        <is>
          <t>Grandstream GWN7702(P) kommutatori</t>
        </is>
      </c>
      <c r="C202" s="5" t="inlineStr"/>
      <c r="D202" s="5" t="n">
        <v>2179162</v>
      </c>
      <c r="E202" s="5" t="n">
        <v>1945680</v>
      </c>
      <c r="F202" s="5" t="inlineStr"/>
      <c r="G202" s="5" t="inlineStr">
        <is>
          <t>Grandstream</t>
        </is>
      </c>
      <c r="H202" s="5">
        <f>HYPERLINK("https://itrix.uz/product/960", "🔗 Mahsulot sotib olish")</f>
        <v/>
      </c>
      <c r="I202" t="inlineStr">
        <is>
          <t>4-960-849</t>
        </is>
      </c>
    </row>
    <row r="203" ht="30" customHeight="1">
      <c r="A203" s="4" t="inlineStr">
        <is>
          <t>Tarmoq qurilmalari</t>
        </is>
      </c>
      <c r="B203" s="4" t="inlineStr">
        <is>
          <t>Ubiquiti Inc. UniFi G6 Turret (UVC-G6-TURRET-W) videokamera</t>
        </is>
      </c>
      <c r="C203" s="5" t="inlineStr"/>
      <c r="D203" s="5" t="n">
        <v>3629226</v>
      </c>
      <c r="E203" s="5" t="n">
        <v>3240380</v>
      </c>
      <c r="F203" s="5" t="n">
        <v>2991120</v>
      </c>
      <c r="G203" s="5" t="inlineStr">
        <is>
          <t>UniFi UBIQUITI</t>
        </is>
      </c>
      <c r="H203" s="5">
        <f>HYPERLINK("https://itrix.uz/product/1452", "🔗 Mahsulot sotib olish")</f>
        <v/>
      </c>
      <c r="I203" t="inlineStr">
        <is>
          <t>4-1452-1152</t>
        </is>
      </c>
    </row>
    <row r="204" ht="30" customHeight="1">
      <c r="A204" s="4" t="inlineStr">
        <is>
          <t>Switchlar</t>
        </is>
      </c>
      <c r="B204" s="4" t="inlineStr">
        <is>
          <t>Kommutator Grandstream GWN7706</t>
        </is>
      </c>
      <c r="C204" s="5" t="inlineStr"/>
      <c r="D204" s="5" t="n">
        <v>4179437</v>
      </c>
      <c r="E204" s="5" t="n">
        <v>3731640</v>
      </c>
      <c r="F204" s="5" t="inlineStr"/>
      <c r="G204" s="5" t="inlineStr">
        <is>
          <t>Grandstream</t>
        </is>
      </c>
      <c r="H204" s="5">
        <f>HYPERLINK("https://itrix.uz/product/964", "🔗 Mahsulot sotib olish")</f>
        <v/>
      </c>
      <c r="I204" t="inlineStr">
        <is>
          <t>4-964-853</t>
        </is>
      </c>
    </row>
    <row r="205" ht="30" customHeight="1">
      <c r="A205" s="4" t="inlineStr">
        <is>
          <t>Switchlar</t>
        </is>
      </c>
      <c r="B205" s="4" t="inlineStr">
        <is>
          <t>Grandstream GWN7812P boshqariladigan kommutatori</t>
        </is>
      </c>
      <c r="C205" s="5" t="inlineStr"/>
      <c r="D205" s="5" t="n">
        <v>5269018</v>
      </c>
      <c r="E205" s="5" t="n">
        <v>4704480</v>
      </c>
      <c r="F205" s="5" t="inlineStr"/>
      <c r="G205" s="5" t="inlineStr">
        <is>
          <t>Grandstream</t>
        </is>
      </c>
      <c r="H205" s="5">
        <f>HYPERLINK("https://itrix.uz/product/975", "🔗 Mahsulot sotib olish")</f>
        <v/>
      </c>
      <c r="I205" t="inlineStr">
        <is>
          <t>4-975-864</t>
        </is>
      </c>
    </row>
    <row r="206" ht="30" customHeight="1">
      <c r="A206" s="4" t="inlineStr">
        <is>
          <t>Switchlar</t>
        </is>
      </c>
      <c r="B206" s="4" t="inlineStr">
        <is>
          <t>Boshqariladigan kommutatori Grandstream GWN7811P</t>
        </is>
      </c>
      <c r="C206" s="5" t="inlineStr"/>
      <c r="D206" s="5" t="n">
        <v>3561466</v>
      </c>
      <c r="E206" s="5" t="n">
        <v>3179880</v>
      </c>
      <c r="F206" s="5" t="inlineStr"/>
      <c r="G206" s="5" t="inlineStr">
        <is>
          <t>Grandstream</t>
        </is>
      </c>
      <c r="H206" s="5">
        <f>HYPERLINK("https://itrix.uz/product/974", "🔗 Mahsulot sotib olish")</f>
        <v/>
      </c>
      <c r="I206" t="inlineStr">
        <is>
          <t>4-974-863</t>
        </is>
      </c>
    </row>
    <row r="207" ht="30" customHeight="1">
      <c r="A207" s="4" t="inlineStr">
        <is>
          <t>Switchlar</t>
        </is>
      </c>
      <c r="B207" s="4" t="inlineStr">
        <is>
          <t>Mikrotik CRS510-8XS-2XQ-IN kommutatori</t>
        </is>
      </c>
      <c r="C207" s="5" t="inlineStr"/>
      <c r="D207" s="5" t="n">
        <v>13912077</v>
      </c>
      <c r="E207" s="5" t="n">
        <v>12421497</v>
      </c>
      <c r="F207" s="5" t="n">
        <v>11465960</v>
      </c>
      <c r="G207" s="5" t="inlineStr">
        <is>
          <t>Mikrotik</t>
        </is>
      </c>
      <c r="H207" s="5">
        <f>HYPERLINK("https://itrix.uz/product/1306", "🔗 Mahsulot sotib olish")</f>
        <v/>
      </c>
      <c r="I207" t="inlineStr">
        <is>
          <t>4-1306-1013</t>
        </is>
      </c>
    </row>
    <row r="208" ht="30" customHeight="1">
      <c r="A208" s="4" t="inlineStr">
        <is>
          <t>Switchlar</t>
        </is>
      </c>
      <c r="B208" s="4" t="inlineStr">
        <is>
          <t>Boshqariladigan kommutator Grandstream GWN7813P</t>
        </is>
      </c>
      <c r="C208" s="5" t="inlineStr"/>
      <c r="D208" s="5" t="n">
        <v>7740902</v>
      </c>
      <c r="E208" s="5" t="n">
        <v>6911520</v>
      </c>
      <c r="F208" s="5" t="inlineStr"/>
      <c r="G208" s="5" t="inlineStr">
        <is>
          <t>Grandstream</t>
        </is>
      </c>
      <c r="H208" s="5">
        <f>HYPERLINK("https://itrix.uz/product/977", "🔗 Mahsulot sotib olish")</f>
        <v/>
      </c>
      <c r="I208" t="inlineStr">
        <is>
          <t>4-977-866</t>
        </is>
      </c>
    </row>
    <row r="209" ht="30" customHeight="1">
      <c r="A209" s="4" t="inlineStr">
        <is>
          <t>Switchlar</t>
        </is>
      </c>
      <c r="B209" s="4" t="inlineStr">
        <is>
          <t>Boshqariladigan kommutator Grandstream GWN7832</t>
        </is>
      </c>
      <c r="C209" s="5" t="inlineStr"/>
      <c r="D209" s="5" t="n">
        <v>5008819</v>
      </c>
      <c r="E209" s="5" t="n">
        <v>4472160</v>
      </c>
      <c r="F209" s="5" t="inlineStr"/>
      <c r="G209" s="5" t="inlineStr">
        <is>
          <t>Grandstream</t>
        </is>
      </c>
      <c r="H209" s="5">
        <f>HYPERLINK("https://itrix.uz/product/980", "🔗 Mahsulot sotib olish")</f>
        <v/>
      </c>
      <c r="I209" t="inlineStr">
        <is>
          <t>4-980-869</t>
        </is>
      </c>
    </row>
    <row r="210" ht="30" customHeight="1">
      <c r="A210" s="4" t="inlineStr">
        <is>
          <t>Switchlar</t>
        </is>
      </c>
      <c r="B210" s="4" t="inlineStr">
        <is>
          <t>MikroTik CRS418-8P-8G-2S+RM kommutatori</t>
        </is>
      </c>
      <c r="C210" s="5" t="inlineStr"/>
      <c r="D210" s="5" t="n">
        <v>6653625</v>
      </c>
      <c r="E210" s="5" t="n">
        <v>5940737</v>
      </c>
      <c r="F210" s="5" t="n">
        <v>5483720</v>
      </c>
      <c r="G210" s="5" t="inlineStr">
        <is>
          <t>Mikrotik</t>
        </is>
      </c>
      <c r="H210" s="5">
        <f>HYPERLINK("https://itrix.uz/product/1307", "🔗 Mahsulot sotib olish")</f>
        <v/>
      </c>
      <c r="I210" t="inlineStr">
        <is>
          <t>4-1307-1014</t>
        </is>
      </c>
    </row>
    <row r="211" ht="30" customHeight="1">
      <c r="A211" s="4" t="inlineStr">
        <is>
          <t>Switchlar</t>
        </is>
      </c>
      <c r="B211" s="4" t="inlineStr">
        <is>
          <t>Ubiquiti NanoSwitch (N-SW) kommutatori</t>
        </is>
      </c>
      <c r="C211" s="5" t="inlineStr"/>
      <c r="D211" s="5" t="n">
        <v>680446</v>
      </c>
      <c r="E211" s="5" t="n">
        <v>607541</v>
      </c>
      <c r="F211" s="5" t="n">
        <v>560835</v>
      </c>
      <c r="G211" s="5" t="inlineStr">
        <is>
          <t>UniFi UBIQUITI</t>
        </is>
      </c>
      <c r="H211" s="5">
        <f>HYPERLINK("https://itrix.uz/product/1357", "🔗 Mahsulot sotib olish")</f>
        <v/>
      </c>
      <c r="I211" t="inlineStr">
        <is>
          <t>4-1357-1057</t>
        </is>
      </c>
    </row>
    <row r="212" ht="30" customHeight="1">
      <c r="A212" s="4" t="inlineStr">
        <is>
          <t>Tarmoq qurilmalari</t>
        </is>
      </c>
      <c r="B212" s="4" t="inlineStr">
        <is>
          <t>SFP transiver Ubiquiti UACC-OM-MM-1G-D-2</t>
        </is>
      </c>
      <c r="C212" s="5" t="inlineStr"/>
      <c r="D212" s="5" t="n">
        <v>428514</v>
      </c>
      <c r="E212" s="5" t="n">
        <v>382602</v>
      </c>
      <c r="F212" s="5" t="n">
        <v>353078</v>
      </c>
      <c r="G212" s="5" t="inlineStr">
        <is>
          <t>UniFi UBIQUITI</t>
        </is>
      </c>
      <c r="H212" s="5">
        <f>HYPERLINK("https://itrix.uz/product/1384", "🔗 Mahsulot sotib olish")</f>
        <v/>
      </c>
      <c r="I212" t="inlineStr">
        <is>
          <t>4-1384-1084</t>
        </is>
      </c>
    </row>
    <row r="213" ht="30" customHeight="1">
      <c r="A213" s="4" t="inlineStr">
        <is>
          <t>Switchlar</t>
        </is>
      </c>
      <c r="B213" s="4" t="inlineStr">
        <is>
          <t>MikroTik CRS520-4XS-16XQ-RM kommutatori</t>
        </is>
      </c>
      <c r="C213" s="5" t="inlineStr"/>
      <c r="D213" s="5" t="n">
        <v>30747591</v>
      </c>
      <c r="E213" s="5" t="n">
        <v>27453206</v>
      </c>
      <c r="F213" s="5" t="n">
        <v>25341393</v>
      </c>
      <c r="G213" s="5" t="inlineStr">
        <is>
          <t>Mikrotik</t>
        </is>
      </c>
      <c r="H213" s="5">
        <f>HYPERLINK("https://itrix.uz/product/1308", "🔗 Mahsulot sotib olish")</f>
        <v/>
      </c>
      <c r="I213" t="inlineStr">
        <is>
          <t>4-1308-1015</t>
        </is>
      </c>
    </row>
    <row r="214" ht="30" customHeight="1">
      <c r="A214" s="4" t="inlineStr">
        <is>
          <t>Tarmoq qurilmalari</t>
        </is>
      </c>
      <c r="B214" s="4" t="inlineStr">
        <is>
          <t>Ubiquiti POE-24-12W-G quvvat bloki (24V, 0.5A, Gigabit)</t>
        </is>
      </c>
      <c r="C214" s="5" t="inlineStr"/>
      <c r="D214" s="5" t="n">
        <v>226860</v>
      </c>
      <c r="E214" s="5" t="n">
        <v>202554</v>
      </c>
      <c r="F214" s="5" t="n">
        <v>186945</v>
      </c>
      <c r="G214" s="5" t="inlineStr">
        <is>
          <t>UniFi UBIQUITI</t>
        </is>
      </c>
      <c r="H214" s="5">
        <f>HYPERLINK("https://itrix.uz/product/1359", "🔗 Mahsulot sotib olish")</f>
        <v/>
      </c>
      <c r="I214" t="inlineStr">
        <is>
          <t>4-1359-1059</t>
        </is>
      </c>
    </row>
    <row r="215" ht="30" customHeight="1">
      <c r="A215" s="4" t="inlineStr">
        <is>
          <t>Switchlar</t>
        </is>
      </c>
      <c r="B215" s="4" t="inlineStr">
        <is>
          <t>Ubiquiti UniFi Switch Lite 16 PoE kommutatori</t>
        </is>
      </c>
      <c r="C215" s="5" t="inlineStr"/>
      <c r="D215" s="5" t="n">
        <v>3528399</v>
      </c>
      <c r="E215" s="5" t="n">
        <v>3150356</v>
      </c>
      <c r="F215" s="5" t="n">
        <v>2907993</v>
      </c>
      <c r="G215" s="5" t="inlineStr">
        <is>
          <t>UniFi UBIQUITI</t>
        </is>
      </c>
      <c r="H215" s="5">
        <f>HYPERLINK("https://itrix.uz/product/1427", "🔗 Mahsulot sotib olish")</f>
        <v/>
      </c>
      <c r="I215" t="inlineStr">
        <is>
          <t>4-1427-1127</t>
        </is>
      </c>
    </row>
    <row r="216" ht="30" customHeight="1">
      <c r="A216" s="4" t="inlineStr">
        <is>
          <t>Tarmoq qurilmalari</t>
        </is>
      </c>
      <c r="B216" s="4" t="inlineStr">
        <is>
          <t>Ubiquiti POE-24-12W-5 quvvat bloki</t>
        </is>
      </c>
      <c r="C216" s="5" t="inlineStr"/>
      <c r="D216" s="5" t="n">
        <v>176447</v>
      </c>
      <c r="E216" s="5" t="n">
        <v>157542</v>
      </c>
      <c r="F216" s="5" t="n">
        <v>145442</v>
      </c>
      <c r="G216" s="5" t="inlineStr">
        <is>
          <t>UniFi UBIQUITI</t>
        </is>
      </c>
      <c r="H216" s="5">
        <f>HYPERLINK("https://itrix.uz/product/1360", "🔗 Mahsulot sotib olish")</f>
        <v/>
      </c>
      <c r="I216" t="inlineStr">
        <is>
          <t>4-1360-1060</t>
        </is>
      </c>
    </row>
    <row r="217" ht="30" customHeight="1">
      <c r="A217" s="4" t="inlineStr">
        <is>
          <t>Tarmoq qurilmalari</t>
        </is>
      </c>
      <c r="B217" s="4" t="inlineStr">
        <is>
          <t>Ubiquiti U-Cable-Patch-0.1M-RJ45-White RJ45 patch kabel</t>
        </is>
      </c>
      <c r="C217" s="5" t="inlineStr"/>
      <c r="D217" s="5" t="n">
        <v>55428</v>
      </c>
      <c r="E217" s="5" t="n">
        <v>49489</v>
      </c>
      <c r="F217" s="5" t="n">
        <v>45738</v>
      </c>
      <c r="G217" s="5" t="inlineStr">
        <is>
          <t>UniFi UBIQUITI</t>
        </is>
      </c>
      <c r="H217" s="5">
        <f>HYPERLINK("https://itrix.uz/product/1397", "🔗 Mahsulot sotib olish")</f>
        <v/>
      </c>
      <c r="I217" t="inlineStr">
        <is>
          <t>4-1397-1097</t>
        </is>
      </c>
    </row>
    <row r="218" ht="30" customHeight="1">
      <c r="A218" s="4" t="inlineStr">
        <is>
          <t>Tarmoq qurilmalari</t>
        </is>
      </c>
      <c r="B218" s="4" t="inlineStr">
        <is>
          <t>Ubiquiti UniFi Network Video Recorder Pro (UNVR-Pro) tarmoq videoregistratori</t>
        </is>
      </c>
      <c r="C218" s="5" t="inlineStr"/>
      <c r="D218" s="5" t="n">
        <v>9274718</v>
      </c>
      <c r="E218" s="5" t="n">
        <v>8280998</v>
      </c>
      <c r="F218" s="5" t="n">
        <v>7643933</v>
      </c>
      <c r="G218" s="5" t="inlineStr">
        <is>
          <t>UniFi UBIQUITI</t>
        </is>
      </c>
      <c r="H218" s="5">
        <f>HYPERLINK("https://itrix.uz/product/1414", "🔗 Mahsulot sotib olish")</f>
        <v/>
      </c>
      <c r="I218" t="inlineStr">
        <is>
          <t>4-1414-1114</t>
        </is>
      </c>
    </row>
    <row r="219" ht="30" customHeight="1">
      <c r="A219" s="4" t="inlineStr">
        <is>
          <t>Tarmoq qurilmalari</t>
        </is>
      </c>
      <c r="B219" s="4" t="inlineStr">
        <is>
          <t>Ubiquiti UACC-OM-SM-10G-D (10G SFP+ bir modli optik transiver)</t>
        </is>
      </c>
      <c r="C219" s="5" t="inlineStr"/>
      <c r="D219" s="5" t="n">
        <v>1738993</v>
      </c>
      <c r="E219" s="5" t="n">
        <v>1552672</v>
      </c>
      <c r="F219" s="5" t="n">
        <v>1433245</v>
      </c>
      <c r="G219" s="5" t="inlineStr">
        <is>
          <t>UniFi UBIQUITI</t>
        </is>
      </c>
      <c r="H219" s="5">
        <f>HYPERLINK("https://itrix.uz/product/1386", "🔗 Mahsulot sotib olish")</f>
        <v/>
      </c>
      <c r="I219" t="inlineStr">
        <is>
          <t>4-1386-1086</t>
        </is>
      </c>
    </row>
    <row r="220" ht="30" customHeight="1">
      <c r="A220" s="4" t="inlineStr">
        <is>
          <t>Tarmoq qurilmalari</t>
        </is>
      </c>
      <c r="B220" s="4" t="inlineStr">
        <is>
          <t>Ubiquiti U-Cable-Patch-5M-RJ45-White patch-kabli</t>
        </is>
      </c>
      <c r="C220" s="5" t="inlineStr"/>
      <c r="D220" s="5" t="n">
        <v>131048</v>
      </c>
      <c r="E220" s="5" t="n">
        <v>117007</v>
      </c>
      <c r="F220" s="5" t="n">
        <v>108053</v>
      </c>
      <c r="G220" s="5" t="inlineStr">
        <is>
          <t>UniFi UBIQUITI</t>
        </is>
      </c>
      <c r="H220" s="5">
        <f>HYPERLINK("https://itrix.uz/product/1403", "🔗 Mahsulot sotib olish")</f>
        <v/>
      </c>
      <c r="I220" t="inlineStr">
        <is>
          <t>4-1403-1103</t>
        </is>
      </c>
    </row>
    <row r="221" ht="30" customHeight="1">
      <c r="A221" s="4" t="inlineStr">
        <is>
          <t>Tarmoq qurilmalari</t>
        </is>
      </c>
      <c r="B221" s="4" t="inlineStr">
        <is>
          <t>Ubiquiti UniFi PoE++ adapteri (U-POE++)</t>
        </is>
      </c>
      <c r="C221" s="5" t="inlineStr"/>
      <c r="D221" s="5" t="n">
        <v>503999</v>
      </c>
      <c r="E221" s="5" t="n">
        <v>449999</v>
      </c>
      <c r="F221" s="5" t="n">
        <v>415393</v>
      </c>
      <c r="G221" s="5" t="inlineStr">
        <is>
          <t>UniFi UBIQUITI</t>
        </is>
      </c>
      <c r="H221" s="5">
        <f>HYPERLINK("https://itrix.uz/product/1415", "🔗 Mahsulot sotib olish")</f>
        <v/>
      </c>
      <c r="I221" t="inlineStr">
        <is>
          <t>4-1415-1115</t>
        </is>
      </c>
    </row>
    <row r="222" ht="30" customHeight="1">
      <c r="A222" s="4" t="inlineStr">
        <is>
          <t>Tarmoq qurilmalari</t>
        </is>
      </c>
      <c r="B222" s="4" t="inlineStr">
        <is>
          <t>Ubiquiti POE-24-24W-G tarmoq qurilmalari uchun quvvat manbai</t>
        </is>
      </c>
      <c r="C222" s="5" t="inlineStr"/>
      <c r="D222" s="5" t="n">
        <v>252067</v>
      </c>
      <c r="E222" s="5" t="n">
        <v>225060</v>
      </c>
      <c r="F222" s="5" t="n">
        <v>207757</v>
      </c>
      <c r="G222" s="5" t="inlineStr">
        <is>
          <t>UniFi UBIQUITI</t>
        </is>
      </c>
      <c r="H222" s="5">
        <f>HYPERLINK("https://itrix.uz/product/1362", "🔗 Mahsulot sotib olish")</f>
        <v/>
      </c>
      <c r="I222" t="inlineStr">
        <is>
          <t>4-1362-1062</t>
        </is>
      </c>
    </row>
    <row r="223" ht="30" customHeight="1">
      <c r="A223" s="4" t="inlineStr">
        <is>
          <t>Tarmoq qurilmalari</t>
        </is>
      </c>
      <c r="B223" s="4" t="inlineStr">
        <is>
          <t>Ubiquiti UACC-OM-SM-10G-D (20-pack) transiveri</t>
        </is>
      </c>
      <c r="C223" s="5" t="inlineStr"/>
      <c r="D223" s="5" t="n">
        <v>831686</v>
      </c>
      <c r="E223" s="5" t="n">
        <v>742577</v>
      </c>
      <c r="F223" s="5" t="n">
        <v>685465</v>
      </c>
      <c r="G223" s="5" t="inlineStr">
        <is>
          <t>UniFi UBIQUITI</t>
        </is>
      </c>
      <c r="H223" s="5">
        <f>HYPERLINK("https://itrix.uz/product/1387", "🔗 Mahsulot sotib olish")</f>
        <v/>
      </c>
      <c r="I223" t="inlineStr">
        <is>
          <t>4-1387-1087</t>
        </is>
      </c>
    </row>
    <row r="224" ht="30" customHeight="1">
      <c r="A224" s="4" t="inlineStr">
        <is>
          <t>Tarmoq qurilmalari</t>
        </is>
      </c>
      <c r="B224" s="4" t="inlineStr">
        <is>
          <t>Ubiquiti UniFi PoE+ (30W) PoE adapteri</t>
        </is>
      </c>
      <c r="C224" s="5" t="inlineStr"/>
      <c r="D224" s="5" t="n">
        <v>327687</v>
      </c>
      <c r="E224" s="5" t="n">
        <v>292578</v>
      </c>
      <c r="F224" s="5" t="n">
        <v>270072</v>
      </c>
      <c r="G224" s="5" t="inlineStr">
        <is>
          <t>UniFi UBIQUITI</t>
        </is>
      </c>
      <c r="H224" s="5">
        <f>HYPERLINK("https://itrix.uz/product/1416", "🔗 Mahsulot sotib olish")</f>
        <v/>
      </c>
      <c r="I224" t="inlineStr">
        <is>
          <t>4-1416-1116</t>
        </is>
      </c>
    </row>
    <row r="225" ht="30" customHeight="1">
      <c r="A225" s="4" t="inlineStr">
        <is>
          <t>Tarmoq qurilmalari</t>
        </is>
      </c>
      <c r="B225" s="4" t="inlineStr">
        <is>
          <t>Ubiquiti POE-48-24W-G quvvat manbai – POE qurilmalar uchun ishonchli yechim</t>
        </is>
      </c>
      <c r="C225" s="5" t="inlineStr"/>
      <c r="D225" s="5" t="n">
        <v>277274</v>
      </c>
      <c r="E225" s="5" t="n">
        <v>247566</v>
      </c>
      <c r="F225" s="5" t="n">
        <v>228448</v>
      </c>
      <c r="G225" s="5" t="inlineStr">
        <is>
          <t>UniFi UBIQUITI</t>
        </is>
      </c>
      <c r="H225" s="5">
        <f>HYPERLINK("https://itrix.uz/product/1363", "🔗 Mahsulot sotib olish")</f>
        <v/>
      </c>
      <c r="I225" t="inlineStr">
        <is>
          <t>4-1363-1063</t>
        </is>
      </c>
    </row>
    <row r="226" ht="30" customHeight="1">
      <c r="A226" s="4" t="inlineStr">
        <is>
          <t>Tarmoq qurilmalari</t>
        </is>
      </c>
      <c r="B226" s="4" t="inlineStr">
        <is>
          <t>Ubiquiti Cloud Gateway Max (UCG-Max) shlyuzi</t>
        </is>
      </c>
      <c r="C226" s="5" t="inlineStr"/>
      <c r="D226" s="5" t="n">
        <v>4486119</v>
      </c>
      <c r="E226" s="5" t="n">
        <v>4005463</v>
      </c>
      <c r="F226" s="5" t="n">
        <v>3697397</v>
      </c>
      <c r="G226" s="5" t="inlineStr">
        <is>
          <t>UniFi UBIQUITI</t>
        </is>
      </c>
      <c r="H226" s="5">
        <f>HYPERLINK("https://itrix.uz/product/1405", "🔗 Mahsulot sotib olish")</f>
        <v/>
      </c>
      <c r="I226" t="inlineStr">
        <is>
          <t>4-1405-1105</t>
        </is>
      </c>
    </row>
    <row r="227" ht="30" customHeight="1">
      <c r="A227" s="4" t="inlineStr">
        <is>
          <t>Tarmoq qurilmalari</t>
        </is>
      </c>
      <c r="B227" s="4" t="inlineStr">
        <is>
          <t>Ubiquiti UniFi PoE-AT (U-POE-at) PoE adapteri</t>
        </is>
      </c>
      <c r="C227" s="5" t="inlineStr"/>
      <c r="D227" s="5" t="n">
        <v>327687</v>
      </c>
      <c r="E227" s="5" t="n">
        <v>292578</v>
      </c>
      <c r="F227" s="5" t="n">
        <v>270072</v>
      </c>
      <c r="G227" s="5" t="inlineStr">
        <is>
          <t>UniFi UBIQUITI</t>
        </is>
      </c>
      <c r="H227" s="5">
        <f>HYPERLINK("https://itrix.uz/product/1417", "🔗 Mahsulot sotib olish")</f>
        <v/>
      </c>
      <c r="I227" t="inlineStr">
        <is>
          <t>4-1417-1117</t>
        </is>
      </c>
    </row>
    <row r="228" ht="30" customHeight="1">
      <c r="A228" s="4" t="inlineStr">
        <is>
          <t>Switchlar</t>
        </is>
      </c>
      <c r="B228" s="4" t="inlineStr">
        <is>
          <t>Ubiquiti USW-Pro-8-PoE kommutatori</t>
        </is>
      </c>
      <c r="C228" s="5" t="inlineStr"/>
      <c r="D228" s="5" t="n">
        <v>5191771</v>
      </c>
      <c r="E228" s="5" t="n">
        <v>4635510</v>
      </c>
      <c r="F228" s="5" t="n">
        <v>4278923</v>
      </c>
      <c r="G228" s="5" t="inlineStr">
        <is>
          <t>UniFi UBIQUITI</t>
        </is>
      </c>
      <c r="H228" s="5">
        <f>HYPERLINK("https://itrix.uz/product/1430", "🔗 Mahsulot sotib olish")</f>
        <v/>
      </c>
      <c r="I228" t="inlineStr">
        <is>
          <t>4-1430-1130</t>
        </is>
      </c>
    </row>
    <row r="229" ht="30" customHeight="1">
      <c r="A229" s="4" t="inlineStr">
        <is>
          <t>Tarmoq qurilmalari</t>
        </is>
      </c>
      <c r="B229" s="4" t="inlineStr">
        <is>
          <t>Ubiquiti RocketDish 5G-30 Light Weight (RD-5G30-LW) antennasi</t>
        </is>
      </c>
      <c r="C229" s="5" t="inlineStr"/>
      <c r="D229" s="5" t="n">
        <v>2091887</v>
      </c>
      <c r="E229" s="5" t="n">
        <v>1867756</v>
      </c>
      <c r="F229" s="5" t="n">
        <v>1724008</v>
      </c>
      <c r="G229" s="5" t="inlineStr">
        <is>
          <t>UniFi UBIQUITI</t>
        </is>
      </c>
      <c r="H229" s="5">
        <f>HYPERLINK("https://itrix.uz/product/1365", "🔗 Mahsulot sotib olish")</f>
        <v/>
      </c>
      <c r="I229" t="inlineStr">
        <is>
          <t>4-1365-1065</t>
        </is>
      </c>
    </row>
    <row r="230" ht="30" customHeight="1">
      <c r="A230" s="4" t="inlineStr">
        <is>
          <t>Tarmoq qurilmalari</t>
        </is>
      </c>
      <c r="B230" s="4" t="inlineStr">
        <is>
          <t>Ubiquiti U-Cable-Patch-0.3M-RJ45-Black патч-кабели</t>
        </is>
      </c>
      <c r="C230" s="5" t="inlineStr"/>
      <c r="D230" s="5" t="n">
        <v>65592</v>
      </c>
      <c r="E230" s="5" t="n">
        <v>58564</v>
      </c>
      <c r="F230" s="5" t="n">
        <v>53966</v>
      </c>
      <c r="G230" s="5" t="inlineStr">
        <is>
          <t>UniFi UBIQUITI</t>
        </is>
      </c>
      <c r="H230" s="5">
        <f>HYPERLINK("https://itrix.uz/product/1398", "🔗 Mahsulot sotib olish")</f>
        <v/>
      </c>
      <c r="I230" t="inlineStr">
        <is>
          <t>4-1398-1098</t>
        </is>
      </c>
    </row>
    <row r="231" ht="30" customHeight="1">
      <c r="A231" s="4" t="inlineStr">
        <is>
          <t>Tarmoq qurilmalari</t>
        </is>
      </c>
      <c r="B231" s="4" t="inlineStr">
        <is>
          <t>Ubiquiti UCG-Ultra (Cloud Gateway Ultra) shlyuzi</t>
        </is>
      </c>
      <c r="C231" s="5" t="inlineStr"/>
      <c r="D231" s="5" t="n">
        <v>4839013</v>
      </c>
      <c r="E231" s="5" t="n">
        <v>4320547</v>
      </c>
      <c r="F231" s="5" t="n">
        <v>3988160</v>
      </c>
      <c r="G231" s="5" t="inlineStr">
        <is>
          <t>UniFi UBIQUITI</t>
        </is>
      </c>
      <c r="H231" s="5">
        <f>HYPERLINK("https://itrix.uz/product/1406", "🔗 Mahsulot sotib olish")</f>
        <v/>
      </c>
      <c r="I231" t="inlineStr">
        <is>
          <t>4-1406-1106</t>
        </is>
      </c>
    </row>
    <row r="232" ht="30" customHeight="1">
      <c r="A232" s="4" t="inlineStr">
        <is>
          <t>Switchlar</t>
        </is>
      </c>
      <c r="B232" s="4" t="inlineStr">
        <is>
          <t>Cisco Catalyst C9200L-24P-4G-E kommutatori</t>
        </is>
      </c>
      <c r="C232" s="5" t="inlineStr"/>
      <c r="D232" s="5" t="n">
        <v>52215856</v>
      </c>
      <c r="E232" s="5" t="n">
        <v>46621300</v>
      </c>
      <c r="F232" s="5" t="inlineStr"/>
      <c r="G232" s="5" t="inlineStr">
        <is>
          <t>Cisco</t>
        </is>
      </c>
      <c r="H232" s="5">
        <f>HYPERLINK("https://itrix.uz/product/1247", "🔗 Mahsulot sotib olish")</f>
        <v/>
      </c>
      <c r="I232" t="inlineStr">
        <is>
          <t>4-1247-958</t>
        </is>
      </c>
    </row>
    <row r="233" ht="30" customHeight="1">
      <c r="A233" s="4" t="inlineStr">
        <is>
          <t>Tarmoq qurilmalari</t>
        </is>
      </c>
      <c r="B233" s="4" t="inlineStr">
        <is>
          <t>Ubiquiti UniFi USP-RPS uzluksiz quvvatlash tizimi</t>
        </is>
      </c>
      <c r="C233" s="5" t="inlineStr"/>
      <c r="D233" s="5" t="n">
        <v>7485312</v>
      </c>
      <c r="E233" s="5" t="n">
        <v>6683314</v>
      </c>
      <c r="F233" s="5" t="n">
        <v>6169185</v>
      </c>
      <c r="G233" s="5" t="inlineStr">
        <is>
          <t>UniFi UBIQUITI</t>
        </is>
      </c>
      <c r="H233" s="5">
        <f>HYPERLINK("https://itrix.uz/product/1418", "🔗 Mahsulot sotib olish")</f>
        <v/>
      </c>
      <c r="I233" t="inlineStr">
        <is>
          <t>4-1418-1118</t>
        </is>
      </c>
    </row>
    <row r="234" ht="30" customHeight="1">
      <c r="A234" s="4" t="inlineStr">
        <is>
          <t>Tarmoq qurilmalari</t>
        </is>
      </c>
      <c r="B234" s="4" t="inlineStr">
        <is>
          <t>APC Easy UPS SRV10KRIRK – uzluksiz quvvat manbai</t>
        </is>
      </c>
      <c r="C234" s="5" t="inlineStr"/>
      <c r="D234" s="5" t="n">
        <v>57455059</v>
      </c>
      <c r="E234" s="5" t="n">
        <v>51299160</v>
      </c>
      <c r="F234" s="5" t="inlineStr"/>
      <c r="G234" s="5" t="inlineStr">
        <is>
          <t>APC</t>
        </is>
      </c>
      <c r="H234" s="5">
        <f>HYPERLINK("https://itrix.uz/product/1167", "🔗 Mahsulot sotib olish")</f>
        <v/>
      </c>
      <c r="I234" t="inlineStr">
        <is>
          <t>4-1167-897</t>
        </is>
      </c>
    </row>
    <row r="235" ht="30" customHeight="1">
      <c r="A235" s="4" t="inlineStr">
        <is>
          <t>Tarmoq qurilmalari</t>
        </is>
      </c>
      <c r="B235" s="4" t="inlineStr">
        <is>
          <t>APC Smart-UPS SRT1500RMXLI-NC uzluksiz quvvat manbai</t>
        </is>
      </c>
      <c r="C235" s="5" t="inlineStr"/>
      <c r="D235" s="5" t="n">
        <v>34671437</v>
      </c>
      <c r="E235" s="5" t="n">
        <v>30956640</v>
      </c>
      <c r="F235" s="5" t="inlineStr"/>
      <c r="G235" s="5" t="inlineStr">
        <is>
          <t>APC</t>
        </is>
      </c>
      <c r="H235" s="5">
        <f>HYPERLINK("https://itrix.uz/product/1169", "🔗 Mahsulot sotib olish")</f>
        <v/>
      </c>
      <c r="I235" t="inlineStr">
        <is>
          <t>4-1169-899</t>
        </is>
      </c>
    </row>
    <row r="236" ht="30" customHeight="1">
      <c r="A236" s="4" t="inlineStr">
        <is>
          <t>Tarmoq qurilmalari</t>
        </is>
      </c>
      <c r="B236" s="4" t="inlineStr">
        <is>
          <t>APC Easy UPS SR SRV1KRIRK uzluksiz quvvat manbai</t>
        </is>
      </c>
      <c r="C236" s="5" t="inlineStr"/>
      <c r="D236" s="5" t="n">
        <v>7350605</v>
      </c>
      <c r="E236" s="5" t="n">
        <v>6563040</v>
      </c>
      <c r="F236" s="5" t="inlineStr"/>
      <c r="G236" s="5" t="inlineStr">
        <is>
          <t>APC</t>
        </is>
      </c>
      <c r="H236" s="5">
        <f>HYPERLINK("https://itrix.uz/product/1168", "🔗 Mahsulot sotib olish")</f>
        <v/>
      </c>
      <c r="I236" t="inlineStr">
        <is>
          <t>4-1168-898</t>
        </is>
      </c>
    </row>
    <row r="237" ht="30" customHeight="1">
      <c r="A237" s="4" t="inlineStr">
        <is>
          <t>Switchlar</t>
        </is>
      </c>
      <c r="B237" s="4" t="inlineStr">
        <is>
          <t>Ubiquiti UniFi Switch 16 PoE (USW-16-POE)  kommutator</t>
        </is>
      </c>
      <c r="C237" s="5" t="inlineStr"/>
      <c r="D237" s="5" t="n">
        <v>5015324</v>
      </c>
      <c r="E237" s="5" t="n">
        <v>4477968</v>
      </c>
      <c r="F237" s="5" t="n">
        <v>4133602</v>
      </c>
      <c r="G237" s="5" t="inlineStr">
        <is>
          <t>UniFi UBIQUITI</t>
        </is>
      </c>
      <c r="H237" s="5">
        <f>HYPERLINK("https://itrix.uz/product/1419", "🔗 Mahsulot sotib olish")</f>
        <v/>
      </c>
      <c r="I237" t="inlineStr">
        <is>
          <t>4-1419-1119</t>
        </is>
      </c>
    </row>
    <row r="238" ht="30" customHeight="1">
      <c r="A238" s="4" t="inlineStr">
        <is>
          <t>Switchlar</t>
        </is>
      </c>
      <c r="B238" s="4" t="inlineStr">
        <is>
          <t>Ubiquiti UniFi Switch 24 PoE (USW-24-POE) kommutatori</t>
        </is>
      </c>
      <c r="C238" s="5" t="inlineStr"/>
      <c r="D238" s="5" t="n">
        <v>6603212</v>
      </c>
      <c r="E238" s="5" t="n">
        <v>5895725</v>
      </c>
      <c r="F238" s="5" t="n">
        <v>5442217</v>
      </c>
      <c r="G238" s="5" t="inlineStr">
        <is>
          <t>UniFi UBIQUITI</t>
        </is>
      </c>
      <c r="H238" s="5">
        <f>HYPERLINK("https://itrix.uz/product/1420", "🔗 Mahsulot sotib olish")</f>
        <v/>
      </c>
      <c r="I238" t="inlineStr">
        <is>
          <t>4-1420-1120</t>
        </is>
      </c>
    </row>
    <row r="239" ht="30" customHeight="1">
      <c r="A239" s="4" t="inlineStr">
        <is>
          <t>Tarmoq qurilmalari</t>
        </is>
      </c>
      <c r="B239" s="4" t="inlineStr">
        <is>
          <t>IP-kamera Ubiquiti UniFi Protect AI Pro UVC-Ai-Pro-B</t>
        </is>
      </c>
      <c r="C239" s="5" t="inlineStr"/>
      <c r="D239" s="5" t="n">
        <v>9173891</v>
      </c>
      <c r="E239" s="5" t="n">
        <v>8190974</v>
      </c>
      <c r="F239" s="5" t="n">
        <v>7560927</v>
      </c>
      <c r="G239" s="5" t="inlineStr">
        <is>
          <t>UniFi UBIQUITI</t>
        </is>
      </c>
      <c r="H239" s="5">
        <f>HYPERLINK("https://itrix.uz/product/1445", "🔗 Mahsulot sotib olish")</f>
        <v/>
      </c>
      <c r="I239" t="inlineStr">
        <is>
          <t>4-1445-1145</t>
        </is>
      </c>
    </row>
    <row r="240" ht="30" customHeight="1">
      <c r="A240" s="4" t="inlineStr">
        <is>
          <t>Tarmoq qurilmalari</t>
        </is>
      </c>
      <c r="B240" s="4" t="inlineStr">
        <is>
          <t>APC Easy UPS SR SRV3KRIRK uzluksiz quvvat manbai</t>
        </is>
      </c>
      <c r="C240" s="5" t="inlineStr"/>
      <c r="D240" s="5" t="n">
        <v>13644154</v>
      </c>
      <c r="E240" s="5" t="n">
        <v>12182280</v>
      </c>
      <c r="F240" s="5" t="inlineStr"/>
      <c r="G240" s="5" t="inlineStr">
        <is>
          <t>APC</t>
        </is>
      </c>
      <c r="H240" s="5">
        <f>HYPERLINK("https://itrix.uz/product/1170", "🔗 Mahsulot sotib olish")</f>
        <v/>
      </c>
      <c r="I240" t="inlineStr">
        <is>
          <t>4-1170-900</t>
        </is>
      </c>
    </row>
    <row r="241" ht="30" customHeight="1">
      <c r="A241" s="4" t="inlineStr">
        <is>
          <t>Tarmoq qurilmalari</t>
        </is>
      </c>
      <c r="B241" s="4" t="inlineStr">
        <is>
          <t>APC Easy UPS SR SRV6KRIRK uzluksiz quvvat manbai</t>
        </is>
      </c>
      <c r="C241" s="5" t="inlineStr"/>
      <c r="D241" s="5" t="n">
        <v>38086541</v>
      </c>
      <c r="E241" s="5" t="n">
        <v>34005840</v>
      </c>
      <c r="F241" s="5" t="inlineStr"/>
      <c r="G241" s="5" t="inlineStr">
        <is>
          <t>APC</t>
        </is>
      </c>
      <c r="H241" s="5">
        <f>HYPERLINK("https://itrix.uz/product/1175", "🔗 Mahsulot sotib olish")</f>
        <v/>
      </c>
      <c r="I241" t="inlineStr">
        <is>
          <t>4-1175-905</t>
        </is>
      </c>
    </row>
    <row r="242" ht="30" customHeight="1">
      <c r="A242" s="4" t="inlineStr">
        <is>
          <t>Tarmoq qurilmalari</t>
        </is>
      </c>
      <c r="B242" s="4" t="inlineStr">
        <is>
          <t>Cisco HS-W-322-C-USB garniturasi</t>
        </is>
      </c>
      <c r="C242" s="5" t="inlineStr"/>
      <c r="D242" s="5" t="n">
        <v>3691565</v>
      </c>
      <c r="E242" s="5" t="n">
        <v>3296040</v>
      </c>
      <c r="F242" s="5" t="inlineStr"/>
      <c r="G242" s="5" t="inlineStr">
        <is>
          <t>Cisco</t>
        </is>
      </c>
      <c r="H242" s="5">
        <f>HYPERLINK("https://itrix.uz/product/1179", "🔗 Mahsulot sotib olish")</f>
        <v/>
      </c>
      <c r="I242" t="inlineStr">
        <is>
          <t>4-1179-909</t>
        </is>
      </c>
    </row>
    <row r="243" ht="30" customHeight="1">
      <c r="A243" s="4" t="inlineStr">
        <is>
          <t>Tarmoq qurilmalari</t>
        </is>
      </c>
      <c r="B243" s="4" t="inlineStr">
        <is>
          <t>Ubiquiti U-Cable-Patch-0.3M-RJ45-Blue RJ45 patch kabeli</t>
        </is>
      </c>
      <c r="C243" s="5" t="inlineStr"/>
      <c r="D243" s="5" t="n">
        <v>65592</v>
      </c>
      <c r="E243" s="5" t="n">
        <v>58564</v>
      </c>
      <c r="F243" s="5" t="n">
        <v>53966</v>
      </c>
      <c r="G243" s="5" t="inlineStr">
        <is>
          <t>UniFi UBIQUITI</t>
        </is>
      </c>
      <c r="H243" s="5">
        <f>HYPERLINK("https://itrix.uz/product/1399", "🔗 Mahsulot sotib olish")</f>
        <v/>
      </c>
      <c r="I243" t="inlineStr">
        <is>
          <t>4-1399-1099</t>
        </is>
      </c>
    </row>
    <row r="244" ht="30" customHeight="1">
      <c r="A244" s="4" t="inlineStr">
        <is>
          <t>Tarmoq qurilmalari</t>
        </is>
      </c>
      <c r="B244" s="4" t="inlineStr">
        <is>
          <t>Jabra PanaCast (8100-119) veb-kamerasi</t>
        </is>
      </c>
      <c r="C244" s="5" t="inlineStr"/>
      <c r="D244" s="5" t="n">
        <v>10164000</v>
      </c>
      <c r="E244" s="5" t="n">
        <v>9075000</v>
      </c>
      <c r="F244" s="5" t="inlineStr"/>
      <c r="G244" s="5" t="inlineStr">
        <is>
          <t>JABRA</t>
        </is>
      </c>
      <c r="H244" s="5">
        <f>HYPERLINK("https://itrix.uz/product/1198", "🔗 Mahsulot sotib olish")</f>
        <v/>
      </c>
      <c r="I244" t="inlineStr">
        <is>
          <t>4-1198-928</t>
        </is>
      </c>
    </row>
    <row r="245" ht="30" customHeight="1">
      <c r="A245" s="4" t="inlineStr">
        <is>
          <t>Tarmoq qurilmalari</t>
        </is>
      </c>
      <c r="B245" s="4" t="inlineStr">
        <is>
          <t>Ubiquiti UniFi Cloud Key Gen2 Plus (UCK-G2-SSD) kontrolleri</t>
        </is>
      </c>
      <c r="C245" s="5" t="inlineStr"/>
      <c r="D245" s="5" t="n">
        <v>4183638</v>
      </c>
      <c r="E245" s="5" t="n">
        <v>3735391</v>
      </c>
      <c r="F245" s="5" t="n">
        <v>3448137</v>
      </c>
      <c r="G245" s="5" t="inlineStr">
        <is>
          <t>UniFi UBIQUITI</t>
        </is>
      </c>
      <c r="H245" s="5">
        <f>HYPERLINK("https://itrix.uz/product/1407", "🔗 Mahsulot sotib olish")</f>
        <v/>
      </c>
      <c r="I245" t="inlineStr">
        <is>
          <t>4-1407-1107</t>
        </is>
      </c>
    </row>
    <row r="246" ht="30" customHeight="1">
      <c r="A246" s="4" t="inlineStr">
        <is>
          <t>Tarmoq qurilmalari</t>
        </is>
      </c>
      <c r="B246" s="4" t="inlineStr">
        <is>
          <t>1-fazali APC AP9544 Easy UPS uchun tarmoq kartasi</t>
        </is>
      </c>
      <c r="C246" s="5" t="inlineStr"/>
      <c r="D246" s="5" t="n">
        <v>222795</v>
      </c>
      <c r="E246" s="5" t="n">
        <v>198924</v>
      </c>
      <c r="F246" s="5" t="inlineStr"/>
      <c r="G246" s="5" t="inlineStr">
        <is>
          <t>APC</t>
        </is>
      </c>
      <c r="H246" s="5">
        <f>HYPERLINK("https://itrix.uz/product/1210", "🔗 Mahsulot sotib olish")</f>
        <v/>
      </c>
      <c r="I246" t="inlineStr">
        <is>
          <t>4-1210-940</t>
        </is>
      </c>
    </row>
    <row r="247" ht="30" customHeight="1">
      <c r="A247" s="4" t="inlineStr">
        <is>
          <t>Tarmoq qurilmalari</t>
        </is>
      </c>
      <c r="B247" s="4" t="inlineStr">
        <is>
          <t>SFP+ Modul MikroTik S+AO0005 – yuqori tezlikli tarmoq yechimi</t>
        </is>
      </c>
      <c r="C247" s="5" t="inlineStr"/>
      <c r="D247" s="5" t="n">
        <v>831686</v>
      </c>
      <c r="E247" s="5" t="n">
        <v>742577</v>
      </c>
      <c r="F247" s="5" t="n">
        <v>685465</v>
      </c>
      <c r="G247" s="5" t="inlineStr">
        <is>
          <t>Mikrotik</t>
        </is>
      </c>
      <c r="H247" s="5">
        <f>HYPERLINK("https://itrix.uz/product/1334", "🔗 Mahsulot sotib olish")</f>
        <v/>
      </c>
      <c r="I247" t="inlineStr">
        <is>
          <t>4-1334-1035</t>
        </is>
      </c>
    </row>
    <row r="248" ht="30" customHeight="1">
      <c r="A248" s="4" t="inlineStr">
        <is>
          <t>Switchlar</t>
        </is>
      </c>
      <c r="B248" s="4" t="inlineStr">
        <is>
          <t>Ubiquiti Unifi Switch 48 PoE boshqariladigan kommutatori</t>
        </is>
      </c>
      <c r="C248" s="5" t="inlineStr"/>
      <c r="D248" s="5" t="n">
        <v>9879544</v>
      </c>
      <c r="E248" s="5" t="n">
        <v>8821021</v>
      </c>
      <c r="F248" s="5" t="n">
        <v>8142453</v>
      </c>
      <c r="G248" s="5" t="inlineStr">
        <is>
          <t>UniFi UBIQUITI</t>
        </is>
      </c>
      <c r="H248" s="5">
        <f>HYPERLINK("https://itrix.uz/product/1421", "🔗 Mahsulot sotib olish")</f>
        <v/>
      </c>
      <c r="I248" t="inlineStr">
        <is>
          <t>4-1421-1121</t>
        </is>
      </c>
    </row>
    <row r="249" ht="30" customHeight="1">
      <c r="A249" s="4" t="inlineStr">
        <is>
          <t>Tarmoq qurilmalari</t>
        </is>
      </c>
      <c r="B249" s="4" t="inlineStr">
        <is>
          <t>Ubiquiti Dream Machine Pro Max (UDM-Pro-Max) shlyuzi</t>
        </is>
      </c>
      <c r="C249" s="5" t="inlineStr"/>
      <c r="D249" s="5" t="n">
        <v>10484369</v>
      </c>
      <c r="E249" s="5" t="n">
        <v>9361044</v>
      </c>
      <c r="F249" s="5" t="n">
        <v>8640973</v>
      </c>
      <c r="G249" s="5" t="inlineStr">
        <is>
          <t>UniFi UBIQUITI</t>
        </is>
      </c>
      <c r="H249" s="5">
        <f>HYPERLINK("https://itrix.uz/product/1409", "🔗 Mahsulot sotib olish")</f>
        <v/>
      </c>
      <c r="I249" t="inlineStr">
        <is>
          <t>4-1409-1109</t>
        </is>
      </c>
    </row>
    <row r="250" ht="30" customHeight="1">
      <c r="A250" s="4" t="inlineStr">
        <is>
          <t>Switchlar</t>
        </is>
      </c>
      <c r="B250" s="4" t="inlineStr">
        <is>
          <t>Ubiquiti UniFi Switch Aggregation (USW-Aggregation) kommutatori</t>
        </is>
      </c>
      <c r="C250" s="5" t="inlineStr"/>
      <c r="D250" s="5" t="n">
        <v>5141358</v>
      </c>
      <c r="E250" s="5" t="n">
        <v>4590498</v>
      </c>
      <c r="F250" s="5" t="n">
        <v>4237420</v>
      </c>
      <c r="G250" s="5" t="inlineStr">
        <is>
          <t>UniFi UBIQUITI</t>
        </is>
      </c>
      <c r="H250" s="5">
        <f>HYPERLINK("https://itrix.uz/product/1422", "🔗 Mahsulot sotib olish")</f>
        <v/>
      </c>
      <c r="I250" t="inlineStr">
        <is>
          <t>4-1422-1122</t>
        </is>
      </c>
    </row>
    <row r="251" ht="30" customHeight="1">
      <c r="A251" s="4" t="inlineStr">
        <is>
          <t>Switchlar</t>
        </is>
      </c>
      <c r="B251" s="4" t="inlineStr">
        <is>
          <t>Ubiquiti UniFi Switch Aggregation Pro</t>
        </is>
      </c>
      <c r="C251" s="5" t="inlineStr"/>
      <c r="D251" s="5" t="n">
        <v>15373795</v>
      </c>
      <c r="E251" s="5" t="n">
        <v>13726603</v>
      </c>
      <c r="F251" s="5" t="n">
        <v>12670757</v>
      </c>
      <c r="G251" s="5" t="inlineStr">
        <is>
          <t>UniFi UBIQUITI</t>
        </is>
      </c>
      <c r="H251" s="5">
        <f>HYPERLINK("https://itrix.uz/product/1431", "🔗 Mahsulot sotib olish")</f>
        <v/>
      </c>
      <c r="I251" t="inlineStr">
        <is>
          <t>4-1431-1131</t>
        </is>
      </c>
    </row>
    <row r="252" ht="30" customHeight="1">
      <c r="A252" s="4" t="inlineStr">
        <is>
          <t>Tarmoq qurilmalari</t>
        </is>
      </c>
      <c r="B252" s="4" t="inlineStr">
        <is>
          <t>Ubiquiti U-Cable-Patch-0.3M-RJ45-White patch-kabeli</t>
        </is>
      </c>
      <c r="C252" s="5" t="inlineStr"/>
      <c r="D252" s="5" t="n">
        <v>65592</v>
      </c>
      <c r="E252" s="5" t="n">
        <v>58564</v>
      </c>
      <c r="F252" s="5" t="n">
        <v>53966</v>
      </c>
      <c r="G252" s="5" t="inlineStr">
        <is>
          <t>UniFi UBIQUITI</t>
        </is>
      </c>
      <c r="H252" s="5">
        <f>HYPERLINK("https://itrix.uz/product/1400", "🔗 Mahsulot sotib olish")</f>
        <v/>
      </c>
      <c r="I252" t="inlineStr">
        <is>
          <t>4-1400-1100</t>
        </is>
      </c>
    </row>
    <row r="253" ht="30" customHeight="1">
      <c r="A253" s="4" t="inlineStr">
        <is>
          <t>Switchlar</t>
        </is>
      </c>
      <c r="B253" s="4" t="inlineStr">
        <is>
          <t>Cisco C1000-24T-4X-L kommutatori</t>
        </is>
      </c>
      <c r="C253" s="5" t="inlineStr"/>
      <c r="D253" s="5" t="n">
        <v>48380640</v>
      </c>
      <c r="E253" s="5" t="n">
        <v>43197000</v>
      </c>
      <c r="F253" s="5" t="inlineStr"/>
      <c r="G253" s="5" t="inlineStr">
        <is>
          <t>Cisco</t>
        </is>
      </c>
      <c r="H253" s="5">
        <f>HYPERLINK("https://itrix.uz/product/1248", "🔗 Mahsulot sotib olish")</f>
        <v/>
      </c>
      <c r="I253" t="inlineStr">
        <is>
          <t>4-1248-959</t>
        </is>
      </c>
    </row>
    <row r="254" ht="30" customHeight="1">
      <c r="A254" s="4" t="inlineStr">
        <is>
          <t>Tarmoq qurilmalari</t>
        </is>
      </c>
      <c r="B254" s="4" t="inlineStr">
        <is>
          <t xml:space="preserve">MikroTik XQ+DA0001 kabeli </t>
        </is>
      </c>
      <c r="C254" s="5" t="inlineStr"/>
      <c r="D254" s="5" t="n">
        <v>630032</v>
      </c>
      <c r="E254" s="5" t="n">
        <v>562529</v>
      </c>
      <c r="F254" s="5" t="n">
        <v>519332</v>
      </c>
      <c r="G254" s="5" t="inlineStr">
        <is>
          <t>Mikrotik</t>
        </is>
      </c>
      <c r="H254" s="5">
        <f>HYPERLINK("https://itrix.uz/product/1338", "🔗 Mahsulot sotib olish")</f>
        <v/>
      </c>
      <c r="I254" t="inlineStr">
        <is>
          <t>4-1338-1039</t>
        </is>
      </c>
    </row>
    <row r="255" ht="30" customHeight="1">
      <c r="A255" s="4" t="inlineStr">
        <is>
          <t>Switchlar</t>
        </is>
      </c>
      <c r="B255" s="4" t="inlineStr">
        <is>
          <t>Grandstream GWN7830 tarmoq kommutatori</t>
        </is>
      </c>
      <c r="C255" s="5" t="inlineStr"/>
      <c r="D255" s="5" t="n">
        <v>3388000</v>
      </c>
      <c r="E255" s="5" t="n">
        <v>3025000</v>
      </c>
      <c r="F255" s="5" t="inlineStr"/>
      <c r="G255" s="5" t="inlineStr">
        <is>
          <t>Grandstream</t>
        </is>
      </c>
      <c r="H255" s="5">
        <f>HYPERLINK("https://itrix.uz/product/1269", "🔗 Mahsulot sotib olish")</f>
        <v/>
      </c>
      <c r="I255" t="inlineStr">
        <is>
          <t>4-1269-980</t>
        </is>
      </c>
    </row>
    <row r="256" ht="30" customHeight="1">
      <c r="A256" s="4" t="inlineStr">
        <is>
          <t>Tarmoq qurilmalari</t>
        </is>
      </c>
      <c r="B256" s="4" t="inlineStr">
        <is>
          <t>Grandstream GXW4232 IP shlyuz</t>
        </is>
      </c>
      <c r="C256" s="5" t="inlineStr"/>
      <c r="D256" s="5" t="n">
        <v>18685498</v>
      </c>
      <c r="E256" s="5" t="n">
        <v>16683480</v>
      </c>
      <c r="F256" s="5" t="inlineStr"/>
      <c r="G256" s="5" t="inlineStr">
        <is>
          <t>Grandstream</t>
        </is>
      </c>
      <c r="H256" s="5">
        <f>HYPERLINK("https://itrix.uz/product/1273", "🔗 Mahsulot sotib olish")</f>
        <v/>
      </c>
      <c r="I256" t="inlineStr">
        <is>
          <t>4-1273-984</t>
        </is>
      </c>
    </row>
    <row r="257" ht="30" customHeight="1">
      <c r="A257" s="4" t="inlineStr">
        <is>
          <t>Switchlar</t>
        </is>
      </c>
      <c r="B257" s="4" t="inlineStr">
        <is>
          <t>Cisco CBS220-48FP-4X-EU kommutatori</t>
        </is>
      </c>
      <c r="C257" s="5" t="inlineStr"/>
      <c r="D257" s="5" t="n">
        <v>51389184</v>
      </c>
      <c r="E257" s="5" t="n">
        <v>45883200</v>
      </c>
      <c r="F257" s="5" t="inlineStr"/>
      <c r="G257" s="5" t="inlineStr">
        <is>
          <t>Cisco</t>
        </is>
      </c>
      <c r="H257" s="5">
        <f>HYPERLINK("https://itrix.uz/product/1157", "🔗 Mahsulot sotib olish")</f>
        <v/>
      </c>
      <c r="I257" t="inlineStr">
        <is>
          <t>4-1157-888</t>
        </is>
      </c>
    </row>
    <row r="258" ht="30" customHeight="1">
      <c r="A258" s="4" t="inlineStr">
        <is>
          <t>Switchlar</t>
        </is>
      </c>
      <c r="B258" s="4" t="inlineStr">
        <is>
          <t>Boshqariladigan kommutator Fortinet FortiSwitch FS-108F-FPOE 8G 2SFP PoE</t>
        </is>
      </c>
      <c r="C258" s="5" t="inlineStr"/>
      <c r="D258" s="5" t="n">
        <v>10570560</v>
      </c>
      <c r="E258" s="5" t="n">
        <v>9438000</v>
      </c>
      <c r="F258" s="5" t="inlineStr"/>
      <c r="G258" s="5" t="inlineStr">
        <is>
          <t>Fortinet</t>
        </is>
      </c>
      <c r="H258" s="5">
        <f>HYPERLINK("https://itrix.uz/product/175", "🔗 Mahsulot sotib olish")</f>
        <v/>
      </c>
      <c r="I258" t="inlineStr">
        <is>
          <t>4-175-177</t>
        </is>
      </c>
    </row>
    <row r="259" ht="30" customHeight="1">
      <c r="A259" s="4" t="inlineStr">
        <is>
          <t>Switchlar</t>
        </is>
      </c>
      <c r="B259" s="4" t="inlineStr">
        <is>
          <t>Cisco C9300-24T-E kommutatori</t>
        </is>
      </c>
      <c r="C259" s="5" t="inlineStr"/>
      <c r="D259" s="5" t="n">
        <v>94050880</v>
      </c>
      <c r="E259" s="5" t="n">
        <v>83974000</v>
      </c>
      <c r="F259" s="5" t="inlineStr"/>
      <c r="G259" s="5" t="inlineStr">
        <is>
          <t>Cisco</t>
        </is>
      </c>
      <c r="H259" s="5">
        <f>HYPERLINK("https://itrix.uz/product/1249", "🔗 Mahsulot sotib olish")</f>
        <v/>
      </c>
      <c r="I259" t="inlineStr">
        <is>
          <t>4-1249-960</t>
        </is>
      </c>
    </row>
    <row r="260" ht="30" customHeight="1">
      <c r="A260" s="4" t="inlineStr">
        <is>
          <t>Tarmoq qurilmalari</t>
        </is>
      </c>
      <c r="B260" s="4" t="inlineStr">
        <is>
          <t>Veb-kamera Jabra PanaCast 20</t>
        </is>
      </c>
      <c r="C260" s="5" t="inlineStr"/>
      <c r="D260" s="5" t="n">
        <v>4878720</v>
      </c>
      <c r="E260" s="5" t="n">
        <v>4356000</v>
      </c>
      <c r="F260" s="5" t="inlineStr"/>
      <c r="G260" s="5" t="inlineStr">
        <is>
          <t>JABRA</t>
        </is>
      </c>
      <c r="H260" s="5">
        <f>HYPERLINK("https://itrix.uz/product/1199", "🔗 Mahsulot sotib olish")</f>
        <v/>
      </c>
      <c r="I260" t="inlineStr">
        <is>
          <t>4-1199-929</t>
        </is>
      </c>
    </row>
    <row r="261" ht="30" customHeight="1">
      <c r="A261" s="4" t="inlineStr">
        <is>
          <t>Tarmoq qurilmalari</t>
        </is>
      </c>
      <c r="B261" s="4" t="inlineStr">
        <is>
          <t>To'g'ridan-to'g'ri ulanish kabeli  MikroTik  XQ+DA0003</t>
        </is>
      </c>
      <c r="C261" s="5" t="inlineStr"/>
      <c r="D261" s="5" t="n">
        <v>831686</v>
      </c>
      <c r="E261" s="5" t="n">
        <v>742577</v>
      </c>
      <c r="F261" s="5" t="n">
        <v>685465</v>
      </c>
      <c r="G261" s="5" t="inlineStr">
        <is>
          <t>Mikrotik</t>
        </is>
      </c>
      <c r="H261" s="5">
        <f>HYPERLINK("https://itrix.uz/product/1339", "🔗 Mahsulot sotib olish")</f>
        <v/>
      </c>
      <c r="I261" t="inlineStr">
        <is>
          <t>4-1339-1040</t>
        </is>
      </c>
    </row>
    <row r="262" ht="30" customHeight="1">
      <c r="A262" s="4" t="inlineStr">
        <is>
          <t>Switchlar</t>
        </is>
      </c>
      <c r="B262" s="4" t="inlineStr">
        <is>
          <t>Ubiquiti USW-Pro-Max-24-PoE Kommutatori</t>
        </is>
      </c>
      <c r="C262" s="5" t="inlineStr"/>
      <c r="D262" s="5" t="n">
        <v>11794983</v>
      </c>
      <c r="E262" s="5" t="n">
        <v>10531235</v>
      </c>
      <c r="F262" s="5" t="n">
        <v>9721140</v>
      </c>
      <c r="G262" s="5" t="inlineStr">
        <is>
          <t>UniFi UBIQUITI</t>
        </is>
      </c>
      <c r="H262" s="5">
        <f>HYPERLINK("https://itrix.uz/product/1433", "🔗 Mahsulot sotib olish")</f>
        <v/>
      </c>
      <c r="I262" t="inlineStr">
        <is>
          <t>4-1433-1133</t>
        </is>
      </c>
    </row>
    <row r="263" ht="30" customHeight="1">
      <c r="A263" s="4" t="inlineStr">
        <is>
          <t>Tarmoq qurilmalari</t>
        </is>
      </c>
      <c r="B263" s="4" t="inlineStr">
        <is>
          <t>MikroTik XS+DA0001 to‘g‘ridan-to‘g‘ri ulanish kabeli</t>
        </is>
      </c>
      <c r="C263" s="5" t="inlineStr"/>
      <c r="D263" s="5" t="n">
        <v>478792</v>
      </c>
      <c r="E263" s="5" t="n">
        <v>427493</v>
      </c>
      <c r="F263" s="5" t="n">
        <v>394702</v>
      </c>
      <c r="G263" s="5" t="inlineStr">
        <is>
          <t>Mikrotik</t>
        </is>
      </c>
      <c r="H263" s="5">
        <f>HYPERLINK("https://itrix.uz/product/1340", "🔗 Mahsulot sotib olish")</f>
        <v/>
      </c>
      <c r="I263" t="inlineStr">
        <is>
          <t>4-1340-1041</t>
        </is>
      </c>
    </row>
    <row r="264" ht="30" customHeight="1">
      <c r="A264" s="4" t="inlineStr">
        <is>
          <t>Tarmoq qurilmalari</t>
        </is>
      </c>
      <c r="B264" s="4" t="inlineStr">
        <is>
          <t>Easy UPS 3S uchun batareyalar to'plami (qatori)</t>
        </is>
      </c>
      <c r="C264" s="5" t="inlineStr"/>
      <c r="D264" s="5" t="n">
        <v>19650400</v>
      </c>
      <c r="E264" s="5" t="n">
        <v>17545000</v>
      </c>
      <c r="F264" s="5" t="inlineStr"/>
      <c r="G264" s="5" t="inlineStr">
        <is>
          <t>APC</t>
        </is>
      </c>
      <c r="H264" s="5">
        <f>HYPERLINK("https://itrix.uz/product/1233", "🔗 Mahsulot sotib olish")</f>
        <v/>
      </c>
      <c r="I264" t="inlineStr">
        <is>
          <t>4-1233-944</t>
        </is>
      </c>
    </row>
    <row r="265" ht="30" customHeight="1">
      <c r="A265" s="4" t="inlineStr">
        <is>
          <t>Switchlar</t>
        </is>
      </c>
      <c r="B265" s="4" t="inlineStr">
        <is>
          <t>Grandstream GWN7831 boshqariladigan kommutator</t>
        </is>
      </c>
      <c r="C265" s="5" t="inlineStr"/>
      <c r="D265" s="5" t="n">
        <v>6830208</v>
      </c>
      <c r="E265" s="5" t="n">
        <v>6098400</v>
      </c>
      <c r="F265" s="5" t="inlineStr"/>
      <c r="G265" s="5" t="inlineStr">
        <is>
          <t>Grandstream</t>
        </is>
      </c>
      <c r="H265" s="5">
        <f>HYPERLINK("https://itrix.uz/product/1270", "🔗 Mahsulot sotib olish")</f>
        <v/>
      </c>
      <c r="I265" t="inlineStr">
        <is>
          <t>4-1270-981</t>
        </is>
      </c>
    </row>
    <row r="266" ht="30" customHeight="1">
      <c r="A266" s="4" t="inlineStr">
        <is>
          <t>Switchlar</t>
        </is>
      </c>
      <c r="B266" s="4" t="inlineStr">
        <is>
          <t>Grandstream GWN7806P boshqariladigan kommutatori</t>
        </is>
      </c>
      <c r="C266" s="5" t="inlineStr"/>
      <c r="D266" s="5" t="n">
        <v>10472986</v>
      </c>
      <c r="E266" s="5" t="n">
        <v>9350880</v>
      </c>
      <c r="F266" s="5" t="inlineStr"/>
      <c r="G266" s="5" t="inlineStr">
        <is>
          <t>Grandstream</t>
        </is>
      </c>
      <c r="H266" s="5">
        <f>HYPERLINK("https://itrix.uz/product/973", "🔗 Mahsulot sotib olish")</f>
        <v/>
      </c>
      <c r="I266" t="inlineStr">
        <is>
          <t>4-973-862</t>
        </is>
      </c>
    </row>
    <row r="267" ht="30" customHeight="1">
      <c r="A267" s="4" t="inlineStr">
        <is>
          <t>Tarmoq qurilmalari</t>
        </is>
      </c>
      <c r="B267" s="4" t="inlineStr">
        <is>
          <t>Ubiquiti U-Cable-Patch-1M-RJ45-White patch kabel</t>
        </is>
      </c>
      <c r="C267" s="5" t="inlineStr"/>
      <c r="D267" s="5" t="n">
        <v>58003</v>
      </c>
      <c r="E267" s="5" t="n">
        <v>51788</v>
      </c>
      <c r="F267" s="5" t="n">
        <v>47795</v>
      </c>
      <c r="G267" s="5" t="inlineStr">
        <is>
          <t>UniFi UBIQUITI</t>
        </is>
      </c>
      <c r="H267" s="5">
        <f>HYPERLINK("https://itrix.uz/product/1401", "🔗 Mahsulot sotib olish")</f>
        <v/>
      </c>
      <c r="I267" t="inlineStr">
        <is>
          <t>4-1401-1101</t>
        </is>
      </c>
    </row>
    <row r="268" ht="30" customHeight="1">
      <c r="A268" s="4" t="inlineStr">
        <is>
          <t>Switchlar</t>
        </is>
      </c>
      <c r="B268" s="4" t="inlineStr">
        <is>
          <t>Boshqarilmaydigan kommutator Grandstream GWN7701</t>
        </is>
      </c>
      <c r="C268" s="5" t="inlineStr"/>
      <c r="D268" s="5" t="n">
        <v>357773</v>
      </c>
      <c r="E268" s="5" t="n">
        <v>319440</v>
      </c>
      <c r="F268" s="5" t="inlineStr"/>
      <c r="G268" s="5" t="inlineStr">
        <is>
          <t>Grandstream</t>
        </is>
      </c>
      <c r="H268" s="5">
        <f>HYPERLINK("https://itrix.uz/product/955", "🔗 Mahsulot sotib olish")</f>
        <v/>
      </c>
      <c r="I268" t="inlineStr">
        <is>
          <t>4-955-844</t>
        </is>
      </c>
    </row>
    <row r="269" ht="30" customHeight="1">
      <c r="A269" s="4" t="inlineStr">
        <is>
          <t>Switchlar</t>
        </is>
      </c>
      <c r="B269" s="4" t="inlineStr">
        <is>
          <t xml:space="preserve">Kommutator Grandstream GWN7701PA </t>
        </is>
      </c>
      <c r="C269" s="5" t="inlineStr"/>
      <c r="D269" s="5" t="n">
        <v>1561190</v>
      </c>
      <c r="E269" s="5" t="n">
        <v>1393920</v>
      </c>
      <c r="F269" s="5" t="inlineStr"/>
      <c r="G269" s="5" t="inlineStr">
        <is>
          <t>Grandstream</t>
        </is>
      </c>
      <c r="H269" s="5">
        <f>HYPERLINK("https://itrix.uz/product/958", "🔗 Mahsulot sotib olish")</f>
        <v/>
      </c>
      <c r="I269" t="inlineStr">
        <is>
          <t>4-958-847</t>
        </is>
      </c>
    </row>
    <row r="270" ht="30" customHeight="1">
      <c r="A270" s="4" t="inlineStr">
        <is>
          <t>Tarmoq qurilmalari</t>
        </is>
      </c>
      <c r="B270" s="4" t="inlineStr">
        <is>
          <t>Grandstream PoE+ 24 Вt injektor (gigabit, 48V/500mA EU adapter)</t>
        </is>
      </c>
      <c r="C270" s="5" t="inlineStr"/>
      <c r="D270" s="5" t="n">
        <v>422822</v>
      </c>
      <c r="E270" s="5" t="n">
        <v>377520</v>
      </c>
      <c r="F270" s="5" t="inlineStr"/>
      <c r="G270" s="5" t="inlineStr">
        <is>
          <t>Grandstream</t>
        </is>
      </c>
      <c r="H270" s="5">
        <f>HYPERLINK("https://itrix.uz/product/1243", "🔗 Mahsulot sotib olish")</f>
        <v/>
      </c>
      <c r="I270" t="inlineStr">
        <is>
          <t>4-1243-954</t>
        </is>
      </c>
    </row>
    <row r="271" ht="30" customHeight="1">
      <c r="A271" s="4" t="inlineStr">
        <is>
          <t>Tarmoq qurilmalari</t>
        </is>
      </c>
      <c r="B271" s="4" t="inlineStr">
        <is>
          <t>Cisco STACK-T1-50CM interfeys kabeli kommutatorlarni steklash uchun</t>
        </is>
      </c>
      <c r="C271" s="5" t="inlineStr"/>
      <c r="D271" s="5" t="n">
        <v>2081587</v>
      </c>
      <c r="E271" s="5" t="n">
        <v>1858560</v>
      </c>
      <c r="F271" s="5" t="inlineStr"/>
      <c r="G271" s="5" t="inlineStr">
        <is>
          <t>Cisco</t>
        </is>
      </c>
      <c r="H271" s="5">
        <f>HYPERLINK("https://itrix.uz/product/1244", "🔗 Mahsulot sotib olish")</f>
        <v/>
      </c>
      <c r="I271" t="inlineStr">
        <is>
          <t>4-1244-955</t>
        </is>
      </c>
    </row>
    <row r="272" ht="30" customHeight="1">
      <c r="A272" s="4" t="inlineStr">
        <is>
          <t>Switchlar</t>
        </is>
      </c>
      <c r="B272" s="4" t="inlineStr">
        <is>
          <t>Cisco CBS220-24FP-4X-EU kommutatori</t>
        </is>
      </c>
      <c r="C272" s="5" t="inlineStr"/>
      <c r="D272" s="5" t="n">
        <v>17902192</v>
      </c>
      <c r="E272" s="5" t="n">
        <v>15984100</v>
      </c>
      <c r="F272" s="5" t="inlineStr"/>
      <c r="G272" s="5" t="inlineStr">
        <is>
          <t>Cisco</t>
        </is>
      </c>
      <c r="H272" s="5">
        <f>HYPERLINK("https://itrix.uz/product/1245", "🔗 Mahsulot sotib olish")</f>
        <v/>
      </c>
      <c r="I272" t="inlineStr">
        <is>
          <t>4-1245-956</t>
        </is>
      </c>
    </row>
    <row r="273" ht="30" customHeight="1">
      <c r="A273" s="4" t="inlineStr">
        <is>
          <t>Switchlar</t>
        </is>
      </c>
      <c r="B273" s="4" t="inlineStr">
        <is>
          <t>Cisco Catalyst C9300L-48P-4X-E kommutatori</t>
        </is>
      </c>
      <c r="C273" s="5" t="inlineStr"/>
      <c r="D273" s="5" t="n">
        <v>184984800</v>
      </c>
      <c r="E273" s="5" t="n">
        <v>165165000</v>
      </c>
      <c r="F273" s="5" t="inlineStr"/>
      <c r="G273" s="5" t="inlineStr">
        <is>
          <t>Cisco</t>
        </is>
      </c>
      <c r="H273" s="5">
        <f>HYPERLINK("https://itrix.uz/product/1250", "🔗 Mahsulot sotib olish")</f>
        <v/>
      </c>
      <c r="I273" t="inlineStr">
        <is>
          <t>4-1250-961</t>
        </is>
      </c>
    </row>
    <row r="274" ht="30" customHeight="1">
      <c r="A274" s="4" t="inlineStr">
        <is>
          <t>Tarmoq qurilmalari</t>
        </is>
      </c>
      <c r="B274" s="4" t="inlineStr">
        <is>
          <t>Cisco C9200L-STACK-KIT steklash moduli</t>
        </is>
      </c>
      <c r="C274" s="5" t="inlineStr"/>
      <c r="D274" s="5" t="n">
        <v>25626832</v>
      </c>
      <c r="E274" s="5" t="n">
        <v>22881100</v>
      </c>
      <c r="F274" s="5" t="inlineStr"/>
      <c r="G274" s="5" t="inlineStr">
        <is>
          <t>Cisco</t>
        </is>
      </c>
      <c r="H274" s="5">
        <f>HYPERLINK("https://itrix.uz/product/1254", "🔗 Mahsulot sotib olish")</f>
        <v/>
      </c>
      <c r="I274" t="inlineStr">
        <is>
          <t>4-1254-965</t>
        </is>
      </c>
    </row>
    <row r="275" ht="30" customHeight="1">
      <c r="A275" s="4" t="inlineStr">
        <is>
          <t>Tarmoq qurilmalari</t>
        </is>
      </c>
      <c r="B275" s="4" t="inlineStr">
        <is>
          <t>Cisco CS-KIT-K9 videokonferensiya tizimi</t>
        </is>
      </c>
      <c r="C275" s="5" t="inlineStr"/>
      <c r="D275" s="5" t="n">
        <v>113397715</v>
      </c>
      <c r="E275" s="5" t="n">
        <v>101247960</v>
      </c>
      <c r="F275" s="5" t="inlineStr"/>
      <c r="G275" s="5" t="inlineStr">
        <is>
          <t>Cisco</t>
        </is>
      </c>
      <c r="H275" s="5">
        <f>HYPERLINK("https://itrix.uz/product/1260", "🔗 Mahsulot sotib olish")</f>
        <v/>
      </c>
      <c r="I275" t="inlineStr">
        <is>
          <t>4-1260-971</t>
        </is>
      </c>
    </row>
    <row r="276" ht="30" customHeight="1">
      <c r="A276" s="4" t="inlineStr">
        <is>
          <t>Switchlar</t>
        </is>
      </c>
      <c r="B276" s="4" t="inlineStr">
        <is>
          <t>Ubiquiti UniFi USW-Ultra-210W kommutatori</t>
        </is>
      </c>
      <c r="C276" s="5" t="inlineStr"/>
      <c r="D276" s="5" t="n">
        <v>3477985</v>
      </c>
      <c r="E276" s="5" t="n">
        <v>3105344</v>
      </c>
      <c r="F276" s="5" t="n">
        <v>2866490</v>
      </c>
      <c r="G276" s="5" t="inlineStr">
        <is>
          <t>UniFi UBIQUITI</t>
        </is>
      </c>
      <c r="H276" s="5">
        <f>HYPERLINK("https://itrix.uz/product/1438", "🔗 Mahsulot sotib olish")</f>
        <v/>
      </c>
      <c r="I276" t="inlineStr">
        <is>
          <t>4-1438-1138</t>
        </is>
      </c>
    </row>
    <row r="277" ht="30" customHeight="1">
      <c r="A277" s="4" t="inlineStr">
        <is>
          <t>Tarmoq qurilmalari</t>
        </is>
      </c>
      <c r="B277" s="4" t="inlineStr">
        <is>
          <t>To‘g‘ridan-to‘g‘ri ulanish kabeli MikroTik XS+DA0003</t>
        </is>
      </c>
      <c r="C277" s="5" t="inlineStr"/>
      <c r="D277" s="5" t="n">
        <v>680446</v>
      </c>
      <c r="E277" s="5" t="n">
        <v>607541</v>
      </c>
      <c r="F277" s="5" t="n">
        <v>560835</v>
      </c>
      <c r="G277" s="5" t="inlineStr">
        <is>
          <t>Mikrotik</t>
        </is>
      </c>
      <c r="H277" s="5">
        <f>HYPERLINK("https://itrix.uz/product/1341", "🔗 Mahsulot sotib olish")</f>
        <v/>
      </c>
      <c r="I277" t="inlineStr">
        <is>
          <t>4-1341-1042</t>
        </is>
      </c>
    </row>
    <row r="278" ht="30" customHeight="1">
      <c r="A278" s="4" t="inlineStr">
        <is>
          <t>Tarmoq qurilmalari</t>
        </is>
      </c>
      <c r="B278" s="4" t="inlineStr">
        <is>
          <t>Kabel Ubiquiti UACC-DAC-SFP10-0.5M</t>
        </is>
      </c>
      <c r="C278" s="5" t="inlineStr"/>
      <c r="D278" s="5" t="n">
        <v>327687</v>
      </c>
      <c r="E278" s="5" t="n">
        <v>292578</v>
      </c>
      <c r="F278" s="5" t="n">
        <v>270072</v>
      </c>
      <c r="G278" s="5" t="inlineStr">
        <is>
          <t>UniFi UBIQUITI</t>
        </is>
      </c>
      <c r="H278" s="5">
        <f>HYPERLINK("https://itrix.uz/product/1379", "🔗 Mahsulot sotib olish")</f>
        <v/>
      </c>
      <c r="I278" t="inlineStr">
        <is>
          <t>4-1379-1079</t>
        </is>
      </c>
    </row>
    <row r="279" ht="30" customHeight="1">
      <c r="A279" s="4" t="inlineStr">
        <is>
          <t>Switchlar</t>
        </is>
      </c>
      <c r="B279" s="4" t="inlineStr">
        <is>
          <t>Ubiquiti UniFi USW-Enterprise-24-PoE kommutatori</t>
        </is>
      </c>
      <c r="C279" s="5" t="inlineStr"/>
      <c r="D279" s="5" t="n">
        <v>13307115</v>
      </c>
      <c r="E279" s="5" t="n">
        <v>11881353</v>
      </c>
      <c r="F279" s="5" t="n">
        <v>10967440</v>
      </c>
      <c r="G279" s="5" t="inlineStr">
        <is>
          <t>UniFi UBIQUITI</t>
        </is>
      </c>
      <c r="H279" s="5">
        <f>HYPERLINK("https://itrix.uz/product/1423", "🔗 Mahsulot sotib olish")</f>
        <v/>
      </c>
      <c r="I279" t="inlineStr">
        <is>
          <t>4-1423-1123</t>
        </is>
      </c>
    </row>
    <row r="280" ht="30" customHeight="1">
      <c r="A280" s="4" t="inlineStr">
        <is>
          <t>Switchlar</t>
        </is>
      </c>
      <c r="B280" s="4" t="inlineStr">
        <is>
          <t>Ubiquiti UniFi USW-PRO-XG-10-POE tarmoq kommutatori</t>
        </is>
      </c>
      <c r="C280" s="5" t="inlineStr"/>
      <c r="D280" s="5" t="n">
        <v>12651876</v>
      </c>
      <c r="E280" s="5" t="n">
        <v>11296318</v>
      </c>
      <c r="F280" s="5" t="n">
        <v>10427417</v>
      </c>
      <c r="G280" s="5" t="inlineStr">
        <is>
          <t>UniFi UBIQUITI</t>
        </is>
      </c>
      <c r="H280" s="5">
        <f>HYPERLINK("https://itrix.uz/product/1434", "🔗 Mahsulot sotib olish")</f>
        <v/>
      </c>
      <c r="I280" t="inlineStr">
        <is>
          <t>4-1434-1134</t>
        </is>
      </c>
    </row>
    <row r="281" ht="30" customHeight="1">
      <c r="A281" s="4" t="inlineStr">
        <is>
          <t>Tarmoq qurilmalari</t>
        </is>
      </c>
      <c r="B281" s="4" t="inlineStr">
        <is>
          <t>Ubiquiti UACC-DAC-SFP10-1M kabeli</t>
        </is>
      </c>
      <c r="C281" s="5" t="inlineStr"/>
      <c r="D281" s="5" t="n">
        <v>327687</v>
      </c>
      <c r="E281" s="5" t="n">
        <v>292578</v>
      </c>
      <c r="F281" s="5" t="n">
        <v>270072</v>
      </c>
      <c r="G281" s="5" t="inlineStr">
        <is>
          <t>UniFi UBIQUITI</t>
        </is>
      </c>
      <c r="H281" s="5">
        <f>HYPERLINK("https://itrix.uz/product/1380", "🔗 Mahsulot sotib olish")</f>
        <v/>
      </c>
      <c r="I281" t="inlineStr">
        <is>
          <t>4-1380-1080</t>
        </is>
      </c>
    </row>
    <row r="282" ht="30" customHeight="1">
      <c r="A282" s="4" t="inlineStr">
        <is>
          <t>Tarmoq qurilmalari</t>
        </is>
      </c>
      <c r="B282" s="4" t="inlineStr">
        <is>
          <t>Ubiquiti UniFi Network Video Recorder (UNVR) tarmoq videoregistratori</t>
        </is>
      </c>
      <c r="C282" s="5" t="inlineStr"/>
      <c r="D282" s="5" t="n">
        <v>5746319</v>
      </c>
      <c r="E282" s="5" t="n">
        <v>5130642</v>
      </c>
      <c r="F282" s="5" t="n">
        <v>4735940</v>
      </c>
      <c r="G282" s="5" t="inlineStr">
        <is>
          <t>UniFi UBIQUITI</t>
        </is>
      </c>
      <c r="H282" s="5">
        <f>HYPERLINK("https://itrix.uz/product/1413", "🔗 Mahsulot sotib olish")</f>
        <v/>
      </c>
      <c r="I282" t="inlineStr">
        <is>
          <t>4-1413-1113</t>
        </is>
      </c>
    </row>
    <row r="283" ht="30" customHeight="1">
      <c r="A283" s="4" t="inlineStr">
        <is>
          <t>Switchlar</t>
        </is>
      </c>
      <c r="B283" s="4" t="inlineStr">
        <is>
          <t>Ubiquiti UniFi Enterprise 48 PoE (USW-Enterprise-48-PoE) kommutatori</t>
        </is>
      </c>
      <c r="C283" s="5" t="inlineStr"/>
      <c r="D283" s="5" t="n">
        <v>27118365</v>
      </c>
      <c r="E283" s="5" t="n">
        <v>24212826</v>
      </c>
      <c r="F283" s="5" t="n">
        <v>22350273</v>
      </c>
      <c r="G283" s="5" t="inlineStr">
        <is>
          <t>UniFi UBIQUITI</t>
        </is>
      </c>
      <c r="H283" s="5">
        <f>HYPERLINK("https://itrix.uz/product/1424", "🔗 Mahsulot sotib olish")</f>
        <v/>
      </c>
      <c r="I283" t="inlineStr">
        <is>
          <t>4-1424-1124</t>
        </is>
      </c>
    </row>
    <row r="284" ht="30" customHeight="1">
      <c r="A284" s="4" t="inlineStr">
        <is>
          <t>Tarmoq qurilmalari</t>
        </is>
      </c>
      <c r="B284" s="4" t="inlineStr">
        <is>
          <t>Ubiquiti UVC-AI-Theta-Pro IP-kamerasi</t>
        </is>
      </c>
      <c r="C284" s="5" t="inlineStr"/>
      <c r="D284" s="5" t="n">
        <v>6199904</v>
      </c>
      <c r="E284" s="5" t="n">
        <v>5535629</v>
      </c>
      <c r="F284" s="5" t="n">
        <v>5109830</v>
      </c>
      <c r="G284" s="5" t="inlineStr">
        <is>
          <t>UniFi UBIQUITI</t>
        </is>
      </c>
      <c r="H284" s="5">
        <f>HYPERLINK("https://itrix.uz/product/1446", "🔗 Mahsulot sotib olish")</f>
        <v/>
      </c>
      <c r="I284" t="inlineStr">
        <is>
          <t>4-1446-1146</t>
        </is>
      </c>
    </row>
    <row r="285" ht="30" customHeight="1">
      <c r="A285" s="4" t="inlineStr">
        <is>
          <t>Switchlar</t>
        </is>
      </c>
      <c r="B285" s="4" t="inlineStr">
        <is>
          <t>Ubiquiti UniFi Switch Lite 8 PoE kommutatori</t>
        </is>
      </c>
      <c r="C285" s="5" t="inlineStr"/>
      <c r="D285" s="5" t="n">
        <v>2066680</v>
      </c>
      <c r="E285" s="5" t="n">
        <v>1845250</v>
      </c>
      <c r="F285" s="5" t="n">
        <v>1703317</v>
      </c>
      <c r="G285" s="5" t="inlineStr">
        <is>
          <t>UniFi UBIQUITI</t>
        </is>
      </c>
      <c r="H285" s="5">
        <f>HYPERLINK("https://itrix.uz/product/1428", "🔗 Mahsulot sotib olish")</f>
        <v/>
      </c>
      <c r="I285" t="inlineStr">
        <is>
          <t>4-1428-1128</t>
        </is>
      </c>
    </row>
    <row r="286" ht="30" customHeight="1">
      <c r="A286" s="4" t="inlineStr">
        <is>
          <t>Switchlar</t>
        </is>
      </c>
      <c r="B286" s="4" t="inlineStr">
        <is>
          <t>Ubiquiti UniFi Switch Pro 24 PoE (USW-Pro-24-PoE) kommutatori</t>
        </is>
      </c>
      <c r="C286" s="5" t="inlineStr"/>
      <c r="D286" s="5" t="n">
        <v>11794983</v>
      </c>
      <c r="E286" s="5" t="n">
        <v>10531235</v>
      </c>
      <c r="F286" s="5" t="n">
        <v>9721140</v>
      </c>
      <c r="G286" s="5" t="inlineStr">
        <is>
          <t>UniFi UBIQUITI</t>
        </is>
      </c>
      <c r="H286" s="5">
        <f>HYPERLINK("https://itrix.uz/product/1429", "🔗 Mahsulot sotib olish")</f>
        <v/>
      </c>
      <c r="I286" t="inlineStr">
        <is>
          <t>4-1429-1129</t>
        </is>
      </c>
    </row>
    <row r="287" ht="30" customHeight="1">
      <c r="A287" s="4" t="inlineStr">
        <is>
          <t>Switchlar</t>
        </is>
      </c>
      <c r="B287" s="4" t="inlineStr">
        <is>
          <t>Ubiquiti USW-Pro-HD-24-PoE kommutatori — L3 boshqariladigan svich</t>
        </is>
      </c>
      <c r="C287" s="5" t="inlineStr"/>
      <c r="D287" s="5" t="n">
        <v>16835514</v>
      </c>
      <c r="E287" s="5" t="n">
        <v>15031709</v>
      </c>
      <c r="F287" s="5" t="n">
        <v>13875433</v>
      </c>
      <c r="G287" s="5" t="inlineStr">
        <is>
          <t>UniFi UBIQUITI</t>
        </is>
      </c>
      <c r="H287" s="5">
        <f>HYPERLINK("https://itrix.uz/product/1432", "🔗 Mahsulot sotib olish")</f>
        <v/>
      </c>
      <c r="I287" t="inlineStr">
        <is>
          <t>4-1432-1132</t>
        </is>
      </c>
    </row>
    <row r="288" ht="30" customHeight="1">
      <c r="A288" s="4" t="inlineStr">
        <is>
          <t>Tarmoq qurilmalari</t>
        </is>
      </c>
      <c r="B288" s="4" t="inlineStr">
        <is>
          <t>Ubiquiti UVC-AI-Pro-W IP-kamerasi</t>
        </is>
      </c>
      <c r="C288" s="5" t="inlineStr"/>
      <c r="D288" s="5" t="n">
        <v>9173891</v>
      </c>
      <c r="E288" s="5" t="n">
        <v>8190974</v>
      </c>
      <c r="F288" s="5" t="n">
        <v>7560927</v>
      </c>
      <c r="G288" s="5" t="inlineStr">
        <is>
          <t>UniFi UBIQUITI</t>
        </is>
      </c>
      <c r="H288" s="5">
        <f>HYPERLINK("https://itrix.uz/product/1447", "🔗 Mahsulot sotib olish")</f>
        <v/>
      </c>
      <c r="I288" t="inlineStr">
        <is>
          <t>4-1447-1147</t>
        </is>
      </c>
    </row>
    <row r="289" ht="30" customHeight="1">
      <c r="A289" s="4" t="inlineStr">
        <is>
          <t>Tarmoq qurilmalari</t>
        </is>
      </c>
      <c r="B289" s="4" t="inlineStr">
        <is>
          <t>Ubiquiti UniFi Video Camera G5 Flex (UVC-G5-Flex) IP-kamerasi</t>
        </is>
      </c>
      <c r="C289" s="5" t="inlineStr"/>
      <c r="D289" s="5" t="n">
        <v>2318612</v>
      </c>
      <c r="E289" s="5" t="n">
        <v>2070189</v>
      </c>
      <c r="F289" s="5" t="n">
        <v>1910953</v>
      </c>
      <c r="G289" s="5" t="inlineStr">
        <is>
          <t>UniFi UBIQUITI</t>
        </is>
      </c>
      <c r="H289" s="5">
        <f>HYPERLINK("https://itrix.uz/product/1448", "🔗 Mahsulot sotib olish")</f>
        <v/>
      </c>
      <c r="I289" t="inlineStr">
        <is>
          <t>4-1448-1148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52567F"/>
    <outlinePr summaryBelow="1" summaryRight="1"/>
    <pageSetUpPr/>
  </sheetPr>
  <dimension ref="A1:I62"/>
  <sheetViews>
    <sheetView workbookViewId="0">
      <selection activeCell="A1" sqref="A1"/>
    </sheetView>
  </sheetViews>
  <sheetFormatPr baseColWidth="8" defaultRowHeight="15"/>
  <cols>
    <col width="30" customWidth="1" min="1" max="1"/>
    <col width="100" customWidth="1" min="2" max="2"/>
    <col width="30" customWidth="1" min="3" max="3"/>
    <col width="20" customWidth="1" min="4" max="4"/>
    <col width="20" customWidth="1" min="5" max="5"/>
    <col width="20" customWidth="1" min="6" max="6"/>
    <col width="25" customWidth="1" min="7" max="7"/>
    <col width="20" customWidth="1" min="8" max="8"/>
  </cols>
  <sheetData>
    <row r="1" ht="30" customHeight="1">
      <c r="A1" s="1" t="inlineStr">
        <is>
          <t>Kategoriya</t>
        </is>
      </c>
      <c r="B1" s="1" t="inlineStr">
        <is>
          <t>Mahsulot nomi</t>
        </is>
      </c>
      <c r="C1" s="2" t="inlineStr">
        <is>
          <t>Kafolat</t>
        </is>
      </c>
      <c r="D1" s="2" t="inlineStr">
        <is>
          <t>QQS bilan narxi</t>
        </is>
      </c>
      <c r="E1" s="2" t="inlineStr">
        <is>
          <t>QQSsiz narxi</t>
        </is>
      </c>
      <c r="F1" s="2" t="inlineStr">
        <is>
          <t>5 dona dan</t>
        </is>
      </c>
      <c r="G1" s="2" t="inlineStr">
        <is>
          <t>Brend</t>
        </is>
      </c>
      <c r="H1" s="2" t="inlineStr">
        <is>
          <t>Saytda</t>
        </is>
      </c>
      <c r="I1" s="3" t="inlineStr">
        <is>
          <t>SKU</t>
        </is>
      </c>
    </row>
    <row r="2">
      <c r="A2" s="4" t="inlineStr">
        <is>
          <t>Routerlar</t>
        </is>
      </c>
      <c r="B2" s="4" t="inlineStr">
        <is>
          <t>MikroTik CCR1009-7G-1C-1S+PC marshrutizatori — 9 portli, yuqori unumli professional tarmoq yo‘riqnoma</t>
        </is>
      </c>
      <c r="C2" s="5" t="inlineStr"/>
      <c r="D2" s="5" t="n">
        <v>8198960</v>
      </c>
      <c r="E2" s="5" t="n">
        <v>7320500</v>
      </c>
      <c r="F2" s="5" t="inlineStr"/>
      <c r="G2" s="5" t="inlineStr">
        <is>
          <t>Mikrotik</t>
        </is>
      </c>
      <c r="H2" s="5">
        <f>HYPERLINK("https://itrix.uz/product/239", "🔗 Mahsulot sotib olish")</f>
        <v/>
      </c>
      <c r="I2" t="inlineStr">
        <is>
          <t>8-239-241</t>
        </is>
      </c>
    </row>
    <row r="3" ht="30" customHeight="1">
      <c r="A3" s="4" t="inlineStr">
        <is>
          <t>Routerlar</t>
        </is>
      </c>
      <c r="B3" s="4" t="inlineStr">
        <is>
          <t>MikroTik RB951Ui-2HnD Wi-Fi marshrutizatori — 2.4GHz, 5 ta LAN port, yuqori quvvatli simsiz router</t>
        </is>
      </c>
      <c r="C3" s="5" t="inlineStr"/>
      <c r="D3" s="5" t="n">
        <v>856893</v>
      </c>
      <c r="E3" s="5" t="n">
        <v>765083</v>
      </c>
      <c r="F3" s="5" t="n">
        <v>706277</v>
      </c>
      <c r="G3" s="5" t="inlineStr">
        <is>
          <t>Mikrotik</t>
        </is>
      </c>
      <c r="H3" s="5">
        <f>HYPERLINK("https://itrix.uz/product/244", "🔗 Mahsulot sotib olish")</f>
        <v/>
      </c>
      <c r="I3" t="inlineStr">
        <is>
          <t>8-244-246</t>
        </is>
      </c>
    </row>
    <row r="4" ht="30" customHeight="1">
      <c r="A4" s="4" t="inlineStr">
        <is>
          <t>Routerlar</t>
        </is>
      </c>
      <c r="B4" s="4" t="inlineStr">
        <is>
          <t>Ubiquiti EdgeRouter X SFP marshrutizatori</t>
        </is>
      </c>
      <c r="C4" s="5" t="inlineStr"/>
      <c r="D4" s="5" t="n">
        <v>1639792</v>
      </c>
      <c r="E4" s="5" t="n">
        <v>1464100</v>
      </c>
      <c r="F4" s="5" t="inlineStr"/>
      <c r="G4" s="5" t="inlineStr">
        <is>
          <t>UniFi UBIQUITI</t>
        </is>
      </c>
      <c r="H4" s="5">
        <f>HYPERLINK("https://itrix.uz/product/178", "🔗 Mahsulot sotib olish")</f>
        <v/>
      </c>
      <c r="I4" t="inlineStr">
        <is>
          <t>8-178-180</t>
        </is>
      </c>
    </row>
    <row r="5" ht="30" customHeight="1">
      <c r="A5" s="4" t="inlineStr">
        <is>
          <t>Routerlar</t>
        </is>
      </c>
      <c r="B5" s="4" t="inlineStr">
        <is>
          <t xml:space="preserve"> Ubiquiti UniFi Cloud Gateway Ultra UCG-Ultra marshrutizatori</t>
        </is>
      </c>
      <c r="C5" s="5" t="inlineStr"/>
      <c r="D5" s="5" t="n">
        <v>2087008</v>
      </c>
      <c r="E5" s="5" t="n">
        <v>1863400</v>
      </c>
      <c r="F5" s="5" t="inlineStr"/>
      <c r="G5" s="5" t="inlineStr">
        <is>
          <t>UniFi UBIQUITI</t>
        </is>
      </c>
      <c r="H5" s="5">
        <f>HYPERLINK("https://itrix.uz/product/308", "🔗 Mahsulot sotib olish")</f>
        <v/>
      </c>
      <c r="I5" t="inlineStr">
        <is>
          <t>8-308-310</t>
        </is>
      </c>
    </row>
    <row r="6" ht="30" customHeight="1">
      <c r="A6" s="4" t="inlineStr">
        <is>
          <t>Routerlar</t>
        </is>
      </c>
      <c r="B6" s="4" t="inlineStr">
        <is>
          <t xml:space="preserve"> UniFi Dream Machine Special Edition marshrutizatori</t>
        </is>
      </c>
      <c r="C6" s="5" t="inlineStr"/>
      <c r="D6" s="5" t="n">
        <v>9066288</v>
      </c>
      <c r="E6" s="5" t="n">
        <v>8094900</v>
      </c>
      <c r="F6" s="5" t="inlineStr"/>
      <c r="G6" s="5" t="inlineStr">
        <is>
          <t>UniFi UBIQUITI</t>
        </is>
      </c>
      <c r="H6" s="5">
        <f>HYPERLINK("https://itrix.uz/product/311", "🔗 Mahsulot sotib olish")</f>
        <v/>
      </c>
      <c r="I6" t="inlineStr">
        <is>
          <t>8-311-313</t>
        </is>
      </c>
    </row>
    <row r="7" ht="30" customHeight="1">
      <c r="A7" s="4" t="inlineStr">
        <is>
          <t>Routerlar</t>
        </is>
      </c>
      <c r="B7" s="4" t="inlineStr">
        <is>
          <t>MikroTik RB3011UiAS-RM marshrutizatori — 10 portli, yuqori unumli rackmount tarmoq yo‘riqnoma</t>
        </is>
      </c>
      <c r="C7" s="5" t="inlineStr"/>
      <c r="D7" s="5" t="n">
        <v>2683296</v>
      </c>
      <c r="E7" s="5" t="n">
        <v>2395800</v>
      </c>
      <c r="F7" s="5" t="inlineStr"/>
      <c r="G7" s="5" t="inlineStr">
        <is>
          <t>Mikrotik</t>
        </is>
      </c>
      <c r="H7" s="5">
        <f>HYPERLINK("https://itrix.uz/product/234", "🔗 Mahsulot sotib olish")</f>
        <v/>
      </c>
      <c r="I7" t="inlineStr">
        <is>
          <t>8-234-236</t>
        </is>
      </c>
    </row>
    <row r="8">
      <c r="A8" s="4" t="inlineStr">
        <is>
          <t>Routerlar</t>
        </is>
      </c>
      <c r="B8" s="4" t="inlineStr">
        <is>
          <t>MikroTik CCR1036-12G-4S-EM marshrutizatori — 36 yadroli, 12xGigabit, 4xSFP portli yuqori unumli tarmoq yo‘riqnoma</t>
        </is>
      </c>
      <c r="C8" s="5" t="inlineStr"/>
      <c r="D8" s="5" t="n">
        <v>21466368</v>
      </c>
      <c r="E8" s="5" t="n">
        <v>19166400</v>
      </c>
      <c r="F8" s="5" t="inlineStr"/>
      <c r="G8" s="5" t="inlineStr">
        <is>
          <t>Mikrotik</t>
        </is>
      </c>
      <c r="H8" s="5">
        <f>HYPERLINK("https://itrix.uz/product/236", "🔗 Mahsulot sotib olish")</f>
        <v/>
      </c>
      <c r="I8" t="inlineStr">
        <is>
          <t>8-236-238</t>
        </is>
      </c>
    </row>
    <row r="9">
      <c r="A9" s="4" t="inlineStr">
        <is>
          <t>Routerlar</t>
        </is>
      </c>
      <c r="B9" s="4" t="inlineStr">
        <is>
          <t>MikroTik CCR2116-12G-4S+ marshrutizatori — 12xGigabit, 4x10G SFP+, 16 yadroli kuchli rackmount tarmoq yo‘riqnoma</t>
        </is>
      </c>
      <c r="C9" s="5" t="inlineStr"/>
      <c r="D9" s="5" t="n">
        <v>13861663</v>
      </c>
      <c r="E9" s="5" t="n">
        <v>12376485</v>
      </c>
      <c r="F9" s="5" t="n">
        <v>11424457</v>
      </c>
      <c r="G9" s="5" t="inlineStr">
        <is>
          <t>Mikrotik</t>
        </is>
      </c>
      <c r="H9" s="5">
        <f>HYPERLINK("https://itrix.uz/product/241", "🔗 Mahsulot sotib olish")</f>
        <v/>
      </c>
      <c r="I9" t="inlineStr">
        <is>
          <t>8-241-243</t>
        </is>
      </c>
    </row>
    <row r="10" ht="30" customHeight="1">
      <c r="A10" s="4" t="inlineStr">
        <is>
          <t>Routerlar</t>
        </is>
      </c>
      <c r="B10" s="4" t="inlineStr">
        <is>
          <t xml:space="preserve"> Mikrotik L009UiGS-RM marshrutizatori</t>
        </is>
      </c>
      <c r="C10" s="5" t="inlineStr"/>
      <c r="D10" s="5" t="n">
        <v>1663372</v>
      </c>
      <c r="E10" s="5" t="n">
        <v>1485154</v>
      </c>
      <c r="F10" s="5" t="n">
        <v>1370930</v>
      </c>
      <c r="G10" s="5" t="inlineStr">
        <is>
          <t>Mikrotik</t>
        </is>
      </c>
      <c r="H10" s="5">
        <f>HYPERLINK("https://itrix.uz/product/511", "🔗 Mahsulot sotib olish")</f>
        <v/>
      </c>
      <c r="I10" t="inlineStr">
        <is>
          <t>8-511-489</t>
        </is>
      </c>
    </row>
    <row r="11">
      <c r="A11" s="4" t="inlineStr">
        <is>
          <t>Routerlar</t>
        </is>
      </c>
      <c r="B11" s="4" t="inlineStr">
        <is>
          <t>MikroTik CCR1009-7G-1C-1S+ marshrutizatori — 9 portli, kuchli rackmount tarmoq yo‘riqnoma SFP+ bilan</t>
        </is>
      </c>
      <c r="C11" s="5" t="inlineStr"/>
      <c r="D11" s="5" t="n">
        <v>8022784</v>
      </c>
      <c r="E11" s="5" t="n">
        <v>7163200</v>
      </c>
      <c r="F11" s="5" t="inlineStr"/>
      <c r="G11" s="5" t="inlineStr">
        <is>
          <t>Mikrotik</t>
        </is>
      </c>
      <c r="H11" s="5">
        <f>HYPERLINK("https://itrix.uz/product/240", "🔗 Mahsulot sotib olish")</f>
        <v/>
      </c>
      <c r="I11" t="inlineStr">
        <is>
          <t>8-240-242</t>
        </is>
      </c>
    </row>
    <row r="12">
      <c r="A12" s="4" t="inlineStr">
        <is>
          <t>Routerlar</t>
        </is>
      </c>
      <c r="B12" s="4" t="inlineStr">
        <is>
          <t>MikroTik hAP RB951Ui-2nD Wi-Fi marshrutizatori — 2.4GHz Wi-Fi, 5xLAN portli, PoE qo‘llab-quvvatlovchi uy routeri</t>
        </is>
      </c>
      <c r="C12" s="5" t="inlineStr"/>
      <c r="D12" s="5" t="n">
        <v>677600</v>
      </c>
      <c r="E12" s="5" t="n">
        <v>605000</v>
      </c>
      <c r="F12" s="5" t="inlineStr"/>
      <c r="G12" s="5" t="inlineStr">
        <is>
          <t>Mikrotik</t>
        </is>
      </c>
      <c r="H12" s="5">
        <f>HYPERLINK("https://itrix.uz/product/243", "🔗 Mahsulot sotib olish")</f>
        <v/>
      </c>
      <c r="I12" t="inlineStr">
        <is>
          <t>8-243-245</t>
        </is>
      </c>
    </row>
    <row r="13">
      <c r="A13" s="4" t="inlineStr">
        <is>
          <t>Routerlar</t>
        </is>
      </c>
      <c r="B13" s="4" t="inlineStr">
        <is>
          <t>MikroTik hAP ac lite RB952Ui-5ac2nD Wi-Fi marshrutizatori — 2.4GHz va 5GHz dual-band, 5xLAN portli, PoE qo‘llab-quvvatlovchi router</t>
        </is>
      </c>
      <c r="C13" s="5" t="inlineStr"/>
      <c r="D13" s="5" t="n">
        <v>933868</v>
      </c>
      <c r="E13" s="5" t="n">
        <v>833811</v>
      </c>
      <c r="F13" s="5" t="n">
        <v>779240</v>
      </c>
      <c r="G13" s="5" t="inlineStr">
        <is>
          <t>Mikrotik</t>
        </is>
      </c>
      <c r="H13" s="5">
        <f>HYPERLINK("https://itrix.uz/product/246", "🔗 Mahsulot sotib olish")</f>
        <v/>
      </c>
      <c r="I13" t="inlineStr">
        <is>
          <t>8-246-248</t>
        </is>
      </c>
    </row>
    <row r="14" ht="30" customHeight="1">
      <c r="A14" s="4" t="inlineStr">
        <is>
          <t>Routerlar</t>
        </is>
      </c>
      <c r="B14" s="4" t="inlineStr">
        <is>
          <t xml:space="preserve"> Wi-Fi marshrutizatori Ubiquiti UniFi Dream Router UDR</t>
        </is>
      </c>
      <c r="C14" s="5" t="inlineStr"/>
      <c r="D14" s="5" t="n">
        <v>4214672</v>
      </c>
      <c r="E14" s="5" t="n">
        <v>3763100</v>
      </c>
      <c r="F14" s="5" t="inlineStr"/>
      <c r="G14" s="5" t="inlineStr">
        <is>
          <t>UniFi UBIQUITI</t>
        </is>
      </c>
      <c r="H14" s="5">
        <f>HYPERLINK("https://itrix.uz/product/309", "🔗 Mahsulot sotib olish")</f>
        <v/>
      </c>
      <c r="I14" t="inlineStr">
        <is>
          <t>8-309-311</t>
        </is>
      </c>
    </row>
    <row r="15" ht="30" customHeight="1">
      <c r="A15" s="4" t="inlineStr">
        <is>
          <t>Routerlar</t>
        </is>
      </c>
      <c r="B15" s="4" t="inlineStr">
        <is>
          <t xml:space="preserve"> Boshqariladigan PoE kommutator Ruijie Reyee RG-ES205GC-P</t>
        </is>
      </c>
      <c r="C15" s="5" t="inlineStr"/>
      <c r="D15" s="5" t="n">
        <v>921536</v>
      </c>
      <c r="E15" s="5" t="n">
        <v>822800</v>
      </c>
      <c r="F15" s="5" t="inlineStr"/>
      <c r="G15" s="5" t="inlineStr">
        <is>
          <t>Reyee</t>
        </is>
      </c>
      <c r="H15" s="5">
        <f>HYPERLINK("https://itrix.uz/product/484", "🔗 Mahsulot sotib olish")</f>
        <v/>
      </c>
      <c r="I15" t="inlineStr">
        <is>
          <t>8-484-468</t>
        </is>
      </c>
    </row>
    <row r="16">
      <c r="A16" s="4" t="inlineStr">
        <is>
          <t>Routerlar</t>
        </is>
      </c>
      <c r="B16" s="4" t="inlineStr">
        <is>
          <t>MikroTik RB2011UiAS-RM marshrutizatori — 5 ta Fast Ethernet va 5 ta Gigabit portli rackmount tarmoq yo‘riqnoma</t>
        </is>
      </c>
      <c r="C16" s="5" t="inlineStr"/>
      <c r="D16" s="5" t="n">
        <v>1815968</v>
      </c>
      <c r="E16" s="5" t="n">
        <v>1621400</v>
      </c>
      <c r="F16" s="5" t="inlineStr"/>
      <c r="G16" s="5" t="inlineStr">
        <is>
          <t>Mikrotik</t>
        </is>
      </c>
      <c r="H16" s="5">
        <f>HYPERLINK("https://itrix.uz/product/232", "🔗 Mahsulot sotib olish")</f>
        <v/>
      </c>
      <c r="I16" t="inlineStr">
        <is>
          <t>8-232-234</t>
        </is>
      </c>
    </row>
    <row r="17" ht="30" customHeight="1">
      <c r="A17" s="4" t="inlineStr">
        <is>
          <t>Routerlar</t>
        </is>
      </c>
      <c r="B17" s="4" t="inlineStr">
        <is>
          <t xml:space="preserve"> MikroTik CCR2004-1G-12S+2XS marshrutizatori</t>
        </is>
      </c>
      <c r="C17" s="5" t="inlineStr"/>
      <c r="D17" s="5" t="n">
        <v>8266584</v>
      </c>
      <c r="E17" s="5" t="n">
        <v>7380879</v>
      </c>
      <c r="F17" s="5" t="n">
        <v>6813147</v>
      </c>
      <c r="G17" s="5" t="inlineStr">
        <is>
          <t>Mikrotik</t>
        </is>
      </c>
      <c r="H17" s="5">
        <f>HYPERLINK("https://itrix.uz/product/367", "🔗 Mahsulot sotib olish")</f>
        <v/>
      </c>
      <c r="I17" t="inlineStr">
        <is>
          <t>8-367-372</t>
        </is>
      </c>
    </row>
    <row r="18" ht="30" customHeight="1">
      <c r="A18" s="4" t="inlineStr">
        <is>
          <t>Routerlar</t>
        </is>
      </c>
      <c r="B18" s="4" t="inlineStr">
        <is>
          <t xml:space="preserve"> MikroTik hEX RB750Gr3 marshrutizatori</t>
        </is>
      </c>
      <c r="C18" s="5" t="inlineStr"/>
      <c r="D18" s="5" t="n">
        <v>867328</v>
      </c>
      <c r="E18" s="5" t="n">
        <v>774400</v>
      </c>
      <c r="F18" s="5" t="inlineStr"/>
      <c r="G18" s="5" t="inlineStr">
        <is>
          <t>Mikrotik</t>
        </is>
      </c>
      <c r="H18" s="5">
        <f>HYPERLINK("https://itrix.uz/product/368", "🔗 Mahsulot sotib olish")</f>
        <v/>
      </c>
      <c r="I18" t="inlineStr">
        <is>
          <t>8-368-373</t>
        </is>
      </c>
    </row>
    <row r="19" ht="30" customHeight="1">
      <c r="A19" s="4" t="inlineStr">
        <is>
          <t>Routerlar</t>
        </is>
      </c>
      <c r="B19" s="4" t="inlineStr">
        <is>
          <t>Simsiz kirish nuqtasi MikroTik hAP ax²</t>
        </is>
      </c>
      <c r="C19" s="5" t="inlineStr"/>
      <c r="D19" s="5" t="n">
        <v>1436512</v>
      </c>
      <c r="E19" s="5" t="n">
        <v>1282600</v>
      </c>
      <c r="F19" s="5" t="n">
        <v>1183985</v>
      </c>
      <c r="G19" s="5" t="inlineStr">
        <is>
          <t>Mikrotik</t>
        </is>
      </c>
      <c r="H19" s="5">
        <f>HYPERLINK("https://itrix.uz/product/1294", "🔗 Mahsulot sotib olish")</f>
        <v/>
      </c>
      <c r="I19" t="inlineStr">
        <is>
          <t>8-1294-1001</t>
        </is>
      </c>
    </row>
    <row r="20">
      <c r="A20" s="4" t="inlineStr">
        <is>
          <t>Routerlar</t>
        </is>
      </c>
      <c r="B20" s="4" t="inlineStr">
        <is>
          <t>MikroTik hAP lite Classic RB941-2nD Wi-Fi marshrutizatori — 2.4GHz, 4 ta LAN portli, ixcham va qulay uy routeri</t>
        </is>
      </c>
      <c r="C20" s="5" t="inlineStr"/>
      <c r="D20" s="5" t="n">
        <v>379456</v>
      </c>
      <c r="E20" s="5" t="n">
        <v>338800</v>
      </c>
      <c r="F20" s="5" t="inlineStr"/>
      <c r="G20" s="5" t="inlineStr">
        <is>
          <t>Mikrotik</t>
        </is>
      </c>
      <c r="H20" s="5">
        <f>HYPERLINK("https://itrix.uz/product/249", "🔗 Mahsulot sotib olish")</f>
        <v/>
      </c>
      <c r="I20" t="inlineStr">
        <is>
          <t>8-249-251</t>
        </is>
      </c>
    </row>
    <row r="21">
      <c r="A21" s="4" t="inlineStr">
        <is>
          <t>Routerlar</t>
        </is>
      </c>
      <c r="B21" s="4" t="inlineStr">
        <is>
          <t>MikroTik hAP lite TC RB941-2nD-TC Wi-Fi marshrutizatori — 2.4GHz, 4 ta LAN port, vertikal korpusli ixcham router</t>
        </is>
      </c>
      <c r="C21" s="5" t="inlineStr"/>
      <c r="D21" s="5" t="n">
        <v>450197</v>
      </c>
      <c r="E21" s="5" t="n">
        <v>401962</v>
      </c>
      <c r="F21" s="5" t="n">
        <v>375705</v>
      </c>
      <c r="G21" s="5" t="inlineStr">
        <is>
          <t>Mikrotik</t>
        </is>
      </c>
      <c r="H21" s="5">
        <f>HYPERLINK("https://itrix.uz/product/250", "🔗 Mahsulot sotib olish")</f>
        <v/>
      </c>
      <c r="I21" t="inlineStr">
        <is>
          <t>8-250-252</t>
        </is>
      </c>
    </row>
    <row r="22" ht="30" customHeight="1">
      <c r="A22" s="4" t="inlineStr">
        <is>
          <t>Routerlar</t>
        </is>
      </c>
      <c r="B22" s="4" t="inlineStr">
        <is>
          <t>MikroTik hAP ax³ Wi-Fi routeri (C53UiG+5HPaxD2HPaxD)</t>
        </is>
      </c>
      <c r="C22" s="5" t="inlineStr"/>
      <c r="D22" s="5" t="n">
        <v>1991060</v>
      </c>
      <c r="E22" s="5" t="n">
        <v>1777732</v>
      </c>
      <c r="F22" s="5" t="n">
        <v>1641002</v>
      </c>
      <c r="G22" s="5" t="inlineStr">
        <is>
          <t>Mikrotik</t>
        </is>
      </c>
      <c r="H22" s="5">
        <f>HYPERLINK("https://itrix.uz/product/1295", "🔗 Mahsulot sotib olish")</f>
        <v/>
      </c>
      <c r="I22" t="inlineStr">
        <is>
          <t>8-1295-1002</t>
        </is>
      </c>
    </row>
    <row r="23" ht="30" customHeight="1">
      <c r="A23" s="4" t="inlineStr">
        <is>
          <t>Routerlar</t>
        </is>
      </c>
      <c r="B23" s="4" t="inlineStr">
        <is>
          <t>MikroTik cAP ax simsiz ulanish nuqtasi (cAPGi-5HaxD2HaxD)</t>
        </is>
      </c>
      <c r="C23" s="5" t="inlineStr"/>
      <c r="D23" s="5" t="n">
        <v>1940646</v>
      </c>
      <c r="E23" s="5" t="n">
        <v>1732720</v>
      </c>
      <c r="F23" s="5" t="n">
        <v>1599378</v>
      </c>
      <c r="G23" s="5" t="inlineStr">
        <is>
          <t>Mikrotik</t>
        </is>
      </c>
      <c r="H23" s="5">
        <f>HYPERLINK("https://itrix.uz/product/1296", "🔗 Mahsulot sotib olish")</f>
        <v/>
      </c>
      <c r="I23" t="inlineStr">
        <is>
          <t>8-1296-1003</t>
        </is>
      </c>
    </row>
    <row r="24" ht="30" customHeight="1">
      <c r="A24" s="4" t="inlineStr">
        <is>
          <t>Routerlar</t>
        </is>
      </c>
      <c r="B24" s="4" t="inlineStr">
        <is>
          <t>Mikrotik CCR2004-16G-2S+ marshrutizatori</t>
        </is>
      </c>
      <c r="C24" s="5" t="inlineStr"/>
      <c r="D24" s="5" t="n">
        <v>6552799</v>
      </c>
      <c r="E24" s="5" t="n">
        <v>5850713</v>
      </c>
      <c r="F24" s="5" t="n">
        <v>5400593</v>
      </c>
      <c r="G24" s="5" t="inlineStr">
        <is>
          <t>Mikrotik</t>
        </is>
      </c>
      <c r="H24" s="5">
        <f>HYPERLINK("https://itrix.uz/product/1297", "🔗 Mahsulot sotib olish")</f>
        <v/>
      </c>
      <c r="I24" t="inlineStr">
        <is>
          <t>8-1297-1004</t>
        </is>
      </c>
    </row>
    <row r="25" ht="30" customHeight="1">
      <c r="A25" s="4" t="inlineStr">
        <is>
          <t>Routerlar</t>
        </is>
      </c>
      <c r="B25" s="4" t="inlineStr">
        <is>
          <t xml:space="preserve"> PoE-marshrutizator Ruijie Reyee RG-EG210G-P</t>
        </is>
      </c>
      <c r="C25" s="5" t="inlineStr"/>
      <c r="D25" s="5" t="n">
        <v>2507120</v>
      </c>
      <c r="E25" s="5" t="n">
        <v>2238500</v>
      </c>
      <c r="F25" s="5" t="inlineStr"/>
      <c r="G25" s="5" t="inlineStr">
        <is>
          <t>Reyee</t>
        </is>
      </c>
      <c r="H25" s="5">
        <f>HYPERLINK("https://itrix.uz/product/486", "🔗 Mahsulot sotib olish")</f>
        <v/>
      </c>
      <c r="I25" t="inlineStr">
        <is>
          <t>8-486-470</t>
        </is>
      </c>
    </row>
    <row r="26" ht="30" customHeight="1">
      <c r="A26" s="4" t="inlineStr">
        <is>
          <t>Routerlar</t>
        </is>
      </c>
      <c r="B26" s="4" t="inlineStr">
        <is>
          <t xml:space="preserve"> Kommutator Ruijie Reyee RG-ES209GC-P</t>
        </is>
      </c>
      <c r="C26" s="5" t="inlineStr"/>
      <c r="D26" s="5" t="n">
        <v>1734656</v>
      </c>
      <c r="E26" s="5" t="n">
        <v>1548800</v>
      </c>
      <c r="F26" s="5" t="inlineStr"/>
      <c r="G26" s="5" t="inlineStr">
        <is>
          <t>Reyee</t>
        </is>
      </c>
      <c r="H26" s="5">
        <f>HYPERLINK("https://itrix.uz/product/485", "🔗 Mahsulot sotib olish")</f>
        <v/>
      </c>
      <c r="I26" t="inlineStr">
        <is>
          <t>8-485-469</t>
        </is>
      </c>
    </row>
    <row r="27" ht="30" customHeight="1">
      <c r="A27" s="4" t="inlineStr">
        <is>
          <t>Routerlar</t>
        </is>
      </c>
      <c r="B27" s="4" t="inlineStr">
        <is>
          <t xml:space="preserve"> L2 darajali boshqariladigan kommutator Ruijie Reyee RG-ES224GC</t>
        </is>
      </c>
      <c r="C27" s="5" t="inlineStr"/>
      <c r="D27" s="5" t="n">
        <v>2276736</v>
      </c>
      <c r="E27" s="5" t="n">
        <v>2032800</v>
      </c>
      <c r="F27" s="5" t="inlineStr"/>
      <c r="G27" s="5" t="inlineStr">
        <is>
          <t>Reyee</t>
        </is>
      </c>
      <c r="H27" s="5">
        <f>HYPERLINK("https://itrix.uz/product/487", "🔗 Mahsulot sotib olish")</f>
        <v/>
      </c>
      <c r="I27" t="inlineStr">
        <is>
          <t>8-487-471</t>
        </is>
      </c>
    </row>
    <row r="28" ht="30" customHeight="1">
      <c r="A28" s="4" t="inlineStr">
        <is>
          <t>Routerlar</t>
        </is>
      </c>
      <c r="B28" s="4" t="inlineStr">
        <is>
          <t>Wi-Fi router MikroTik RB2011UiAS-2HnD-IN — ko‘p portli, kuchli simsiz tarmoq yo‘riqnoma</t>
        </is>
      </c>
      <c r="C28" s="5" t="inlineStr"/>
      <c r="D28" s="5" t="n">
        <v>1829520</v>
      </c>
      <c r="E28" s="5" t="n">
        <v>1633500</v>
      </c>
      <c r="F28" s="5" t="inlineStr"/>
      <c r="G28" s="5" t="inlineStr">
        <is>
          <t>Mikrotik</t>
        </is>
      </c>
      <c r="H28" s="5">
        <f>HYPERLINK("https://itrix.uz/product/233", "🔗 Mahsulot sotib olish")</f>
        <v/>
      </c>
      <c r="I28" t="inlineStr">
        <is>
          <t>8-233-235</t>
        </is>
      </c>
    </row>
    <row r="29">
      <c r="A29" s="4" t="inlineStr">
        <is>
          <t>Routerlar</t>
        </is>
      </c>
      <c r="B29" s="4" t="inlineStr">
        <is>
          <t>MikroTik RB4011iGS+RM marshrutizatori — kuchli 10-portli rackmount tarmoq yo‘riqnoma SFP+ port bilan</t>
        </is>
      </c>
      <c r="C29" s="5" t="inlineStr"/>
      <c r="D29" s="5" t="n">
        <v>3074813</v>
      </c>
      <c r="E29" s="5" t="n">
        <v>2745369</v>
      </c>
      <c r="F29" s="5" t="n">
        <v>2534103</v>
      </c>
      <c r="G29" s="5" t="inlineStr">
        <is>
          <t>Mikrotik</t>
        </is>
      </c>
      <c r="H29" s="5">
        <f>HYPERLINK("https://itrix.uz/product/235", "🔗 Mahsulot sotib olish")</f>
        <v/>
      </c>
      <c r="I29" t="inlineStr">
        <is>
          <t>8-235-237</t>
        </is>
      </c>
    </row>
    <row r="30">
      <c r="A30" s="4" t="inlineStr">
        <is>
          <t>Routerlar</t>
        </is>
      </c>
      <c r="B30" s="4" t="inlineStr">
        <is>
          <t>MikroTik RB1100Dx4 Dude Edition marshrutizatori — 13 portli, kuchli rackmount yo‘riqnoma Dude monitoring tizimi bilan</t>
        </is>
      </c>
      <c r="C30" s="5" t="inlineStr"/>
      <c r="D30" s="5" t="n">
        <v>5469045</v>
      </c>
      <c r="E30" s="5" t="n">
        <v>4883076</v>
      </c>
      <c r="F30" s="5" t="n">
        <v>4507492</v>
      </c>
      <c r="G30" s="5" t="inlineStr">
        <is>
          <t>Mikrotik</t>
        </is>
      </c>
      <c r="H30" s="5">
        <f>HYPERLINK("https://itrix.uz/product/238", "🔗 Mahsulot sotib olish")</f>
        <v/>
      </c>
      <c r="I30" t="inlineStr">
        <is>
          <t>8-238-240</t>
        </is>
      </c>
    </row>
    <row r="31">
      <c r="A31" s="4" t="inlineStr">
        <is>
          <t>Routerlar</t>
        </is>
      </c>
      <c r="B31" s="4" t="inlineStr">
        <is>
          <t>MikroTik RB951G-2HnD Wi-Fi marshrutizatori — 5xGigabit portli, 2.4GHz simsiz router, PoE qo‘llab-quvvatlovchi</t>
        </is>
      </c>
      <c r="C31" s="5" t="inlineStr"/>
      <c r="D31" s="5" t="n">
        <v>1531376</v>
      </c>
      <c r="E31" s="5" t="n">
        <v>1367300</v>
      </c>
      <c r="F31" s="5" t="inlineStr"/>
      <c r="G31" s="5" t="inlineStr">
        <is>
          <t>Mikrotik</t>
        </is>
      </c>
      <c r="H31" s="5">
        <f>HYPERLINK("https://itrix.uz/product/245", "🔗 Mahsulot sotib olish")</f>
        <v/>
      </c>
      <c r="I31" t="inlineStr">
        <is>
          <t>8-245-247</t>
        </is>
      </c>
    </row>
    <row r="32">
      <c r="A32" s="4" t="inlineStr">
        <is>
          <t>Routerlar</t>
        </is>
      </c>
      <c r="B32" s="4" t="inlineStr">
        <is>
          <t>MikroTik hEX PoE RB960PGS marshrutizatori — 5xGigabit PoE portli, 1xSFP slotli, kommutatsiyalangan tarmoq yo‘riqnoma</t>
        </is>
      </c>
      <c r="C32" s="5" t="inlineStr"/>
      <c r="D32" s="5" t="n">
        <v>1246784</v>
      </c>
      <c r="E32" s="5" t="n">
        <v>1113200</v>
      </c>
      <c r="F32" s="5" t="inlineStr"/>
      <c r="G32" s="5" t="inlineStr">
        <is>
          <t>Mikrotik</t>
        </is>
      </c>
      <c r="H32" s="5">
        <f>HYPERLINK("https://itrix.uz/product/247", "🔗 Mahsulot sotib olish")</f>
        <v/>
      </c>
      <c r="I32" t="inlineStr">
        <is>
          <t>8-247-249</t>
        </is>
      </c>
    </row>
    <row r="33">
      <c r="A33" s="4" t="inlineStr">
        <is>
          <t>Routerlar</t>
        </is>
      </c>
      <c r="B33" s="4" t="inlineStr">
        <is>
          <t>MikroTik hAP mini RB931-2nD Wi-Fi marshrutizatori — 2.4GHz, 3 ta portli, ixcham va byudjet uy routeri</t>
        </is>
      </c>
      <c r="C33" s="5" t="inlineStr"/>
      <c r="D33" s="5" t="n">
        <v>352352</v>
      </c>
      <c r="E33" s="5" t="n">
        <v>314600</v>
      </c>
      <c r="F33" s="5" t="inlineStr"/>
      <c r="G33" s="5" t="inlineStr">
        <is>
          <t>Mikrotik</t>
        </is>
      </c>
      <c r="H33" s="5">
        <f>HYPERLINK("https://itrix.uz/product/251", "🔗 Mahsulot sotib olish")</f>
        <v/>
      </c>
      <c r="I33" t="inlineStr">
        <is>
          <t>8-251-253</t>
        </is>
      </c>
    </row>
    <row r="34" ht="30" customHeight="1">
      <c r="A34" s="4" t="inlineStr">
        <is>
          <t>Routerlar</t>
        </is>
      </c>
      <c r="B34" s="4" t="inlineStr">
        <is>
          <t xml:space="preserve">Grandstream GWN7002 yo‘naltirgichi </t>
        </is>
      </c>
      <c r="C34" s="5" t="inlineStr"/>
      <c r="D34" s="5" t="n">
        <v>1187155</v>
      </c>
      <c r="E34" s="5" t="n">
        <v>1059960</v>
      </c>
      <c r="F34" s="5" t="inlineStr"/>
      <c r="G34" s="5" t="inlineStr">
        <is>
          <t>Grandstream</t>
        </is>
      </c>
      <c r="H34" s="5">
        <f>HYPERLINK("https://itrix.uz/product/940", "🔗 Mahsulot sotib olish")</f>
        <v/>
      </c>
      <c r="I34" t="inlineStr">
        <is>
          <t>8-940-830</t>
        </is>
      </c>
    </row>
    <row r="35" ht="30" customHeight="1">
      <c r="A35" s="4" t="inlineStr">
        <is>
          <t>Routerlar</t>
        </is>
      </c>
      <c r="B35" s="4" t="inlineStr">
        <is>
          <t>Grandstream GWN7062E marshrutizatori</t>
        </is>
      </c>
      <c r="C35" s="5" t="inlineStr"/>
      <c r="D35" s="5" t="n">
        <v>894432</v>
      </c>
      <c r="E35" s="5" t="n">
        <v>798600</v>
      </c>
      <c r="F35" s="5" t="inlineStr"/>
      <c r="G35" s="5" t="inlineStr">
        <is>
          <t>Grandstream</t>
        </is>
      </c>
      <c r="H35" s="5">
        <f>HYPERLINK("https://itrix.uz/product/941", "🔗 Mahsulot sotib olish")</f>
        <v/>
      </c>
      <c r="I35" t="inlineStr">
        <is>
          <t>8-941-831</t>
        </is>
      </c>
    </row>
    <row r="36" ht="30" customHeight="1">
      <c r="A36" s="4" t="inlineStr">
        <is>
          <t>Routerlar</t>
        </is>
      </c>
      <c r="B36" s="4" t="inlineStr">
        <is>
          <t>Mikrotik CCR2216-1G-12XS-2XQ marshrutizatori</t>
        </is>
      </c>
      <c r="C36" s="5" t="inlineStr"/>
      <c r="D36" s="5" t="n">
        <v>39316656</v>
      </c>
      <c r="E36" s="5" t="n">
        <v>35104157</v>
      </c>
      <c r="F36" s="5" t="n">
        <v>32403800</v>
      </c>
      <c r="G36" s="5" t="inlineStr">
        <is>
          <t>Mikrotik</t>
        </is>
      </c>
      <c r="H36" s="5">
        <f>HYPERLINK("https://itrix.uz/product/1298", "🔗 Mahsulot sotib olish")</f>
        <v/>
      </c>
      <c r="I36" t="inlineStr">
        <is>
          <t>8-1298-1005</t>
        </is>
      </c>
    </row>
    <row r="37" ht="30" customHeight="1">
      <c r="A37" s="4" t="inlineStr">
        <is>
          <t>Routerlar</t>
        </is>
      </c>
      <c r="B37" s="4" t="inlineStr">
        <is>
          <t>MikroTik E60iUGS (hEX S 2025 version) marshrutizatori</t>
        </is>
      </c>
      <c r="C37" s="5" t="inlineStr"/>
      <c r="D37" s="5" t="n">
        <v>1134167</v>
      </c>
      <c r="E37" s="5" t="n">
        <v>1012649</v>
      </c>
      <c r="F37" s="5" t="n">
        <v>934725</v>
      </c>
      <c r="G37" s="5" t="inlineStr">
        <is>
          <t>Mikrotik</t>
        </is>
      </c>
      <c r="H37" s="5">
        <f>HYPERLINK("https://itrix.uz/product/1309", "🔗 Mahsulot sotib olish")</f>
        <v/>
      </c>
      <c r="I37" t="inlineStr">
        <is>
          <t>8-1309-1016</t>
        </is>
      </c>
    </row>
    <row r="38" ht="30" customHeight="1">
      <c r="A38" s="4" t="inlineStr">
        <is>
          <t>Routerlar</t>
        </is>
      </c>
      <c r="B38" s="4" t="inlineStr">
        <is>
          <t>MikroTik hAP ax S (E62iUGS-2axD5axT) marshrutizatori</t>
        </is>
      </c>
      <c r="C38" s="5" t="inlineStr"/>
      <c r="D38" s="5" t="n">
        <v>1134167</v>
      </c>
      <c r="E38" s="5" t="n">
        <v>1012649</v>
      </c>
      <c r="F38" s="5" t="n">
        <v>934725</v>
      </c>
      <c r="G38" s="5" t="inlineStr">
        <is>
          <t>Mikrotik</t>
        </is>
      </c>
      <c r="H38" s="5">
        <f>HYPERLINK("https://itrix.uz/product/1310", "🔗 Mahsulot sotib olish")</f>
        <v/>
      </c>
      <c r="I38" t="inlineStr">
        <is>
          <t>8-1310-1017</t>
        </is>
      </c>
    </row>
    <row r="39" ht="30" customHeight="1">
      <c r="A39" s="4" t="inlineStr">
        <is>
          <t>Routerlar</t>
        </is>
      </c>
      <c r="B39" s="4" t="inlineStr">
        <is>
          <t>MikroTik Chateau PRO ax (H53UiG-5HaxQ2HaxQ) marshrutizatori</t>
        </is>
      </c>
      <c r="C39" s="5" t="inlineStr"/>
      <c r="D39" s="5" t="n">
        <v>2999193</v>
      </c>
      <c r="E39" s="5" t="n">
        <v>2677851</v>
      </c>
      <c r="F39" s="5" t="n">
        <v>2471788</v>
      </c>
      <c r="G39" s="5" t="inlineStr">
        <is>
          <t>Mikrotik</t>
        </is>
      </c>
      <c r="H39" s="5">
        <f>HYPERLINK("https://itrix.uz/product/1311", "🔗 Mahsulot sotib olish")</f>
        <v/>
      </c>
      <c r="I39" t="inlineStr">
        <is>
          <t>8-1311-1018</t>
        </is>
      </c>
    </row>
    <row r="40" ht="30" customHeight="1">
      <c r="A40" s="4" t="inlineStr">
        <is>
          <t>Routerlar</t>
        </is>
      </c>
      <c r="B40" s="4" t="inlineStr">
        <is>
          <t>MikroTik L009UiGS-2HaxD-IN yo'naltirgichi (router)</t>
        </is>
      </c>
      <c r="C40" s="5" t="inlineStr"/>
      <c r="D40" s="5" t="n">
        <v>1839820</v>
      </c>
      <c r="E40" s="5" t="n">
        <v>1642696</v>
      </c>
      <c r="F40" s="5" t="n">
        <v>1516372</v>
      </c>
      <c r="G40" s="5" t="inlineStr">
        <is>
          <t>Mikrotik</t>
        </is>
      </c>
      <c r="H40" s="5">
        <f>HYPERLINK("https://itrix.uz/product/1318", "🔗 Mahsulot sotib olish")</f>
        <v/>
      </c>
      <c r="I40" t="inlineStr">
        <is>
          <t>8-1318-1019</t>
        </is>
      </c>
    </row>
    <row r="41" ht="30" customHeight="1">
      <c r="A41" s="4" t="inlineStr">
        <is>
          <t>Routerlar</t>
        </is>
      </c>
      <c r="B41" s="4" t="inlineStr">
        <is>
          <t>Ubiquiti Cloud Gateway Fiber marshrutizatori</t>
        </is>
      </c>
      <c r="C41" s="5" t="inlineStr"/>
      <c r="D41" s="5" t="n">
        <v>4839013</v>
      </c>
      <c r="E41" s="5" t="n">
        <v>4320547</v>
      </c>
      <c r="F41" s="5" t="n">
        <v>3988160</v>
      </c>
      <c r="G41" s="5" t="inlineStr">
        <is>
          <t>UniFi UBIQUITI</t>
        </is>
      </c>
      <c r="H41" s="5">
        <f>HYPERLINK("https://itrix.uz/product/1404", "🔗 Mahsulot sotib olish")</f>
        <v/>
      </c>
      <c r="I41" t="inlineStr">
        <is>
          <t>8-1404-1104</t>
        </is>
      </c>
    </row>
    <row r="42" ht="30" customHeight="1">
      <c r="A42" s="4" t="inlineStr">
        <is>
          <t>Routerlar</t>
        </is>
      </c>
      <c r="B42" s="4" t="inlineStr">
        <is>
          <t>MikroTik mANTBox ax 15s (L22UGS-5HaxD2HaxD-15S) kirish nuqtasi</t>
        </is>
      </c>
      <c r="C42" s="5" t="inlineStr"/>
      <c r="D42" s="5" t="n">
        <v>2570679</v>
      </c>
      <c r="E42" s="5" t="n">
        <v>2295249</v>
      </c>
      <c r="F42" s="5" t="n">
        <v>2118710</v>
      </c>
      <c r="G42" s="5" t="inlineStr">
        <is>
          <t>Mikrotik</t>
        </is>
      </c>
      <c r="H42" s="5">
        <f>HYPERLINK("https://itrix.uz/product/1320", "🔗 Mahsulot sotib olish")</f>
        <v/>
      </c>
      <c r="I42" t="inlineStr">
        <is>
          <t>8-1320-1021</t>
        </is>
      </c>
    </row>
    <row r="43" ht="30" customHeight="1">
      <c r="A43" s="4" t="inlineStr">
        <is>
          <t>Routerlar</t>
        </is>
      </c>
      <c r="B43" s="4" t="inlineStr">
        <is>
          <t>MikroTik hAP ax lite LTE6 kirish nuqtasi (L41G-2axD&amp;FG621-EA)</t>
        </is>
      </c>
      <c r="C43" s="5" t="inlineStr"/>
      <c r="D43" s="5" t="n">
        <v>1713786</v>
      </c>
      <c r="E43" s="5" t="n">
        <v>1530166</v>
      </c>
      <c r="F43" s="5" t="n">
        <v>1412433</v>
      </c>
      <c r="G43" s="5" t="inlineStr">
        <is>
          <t>Mikrotik</t>
        </is>
      </c>
      <c r="H43" s="5">
        <f>HYPERLINK("https://itrix.uz/product/1321", "🔗 Mahsulot sotib olish")</f>
        <v/>
      </c>
      <c r="I43" t="inlineStr">
        <is>
          <t>8-1321-1022</t>
        </is>
      </c>
    </row>
    <row r="44" ht="30" customHeight="1">
      <c r="A44" s="4" t="inlineStr">
        <is>
          <t>Routerlar</t>
        </is>
      </c>
      <c r="B44" s="4" t="inlineStr">
        <is>
          <t>MIKROTIK hAP ax lite LTE6 kit (L41G-2axD) simsiz Wi-Fi 6 va LTE6 bilan</t>
        </is>
      </c>
      <c r="C44" s="5" t="inlineStr"/>
      <c r="D44" s="5" t="n">
        <v>856893</v>
      </c>
      <c r="E44" s="5" t="n">
        <v>765083</v>
      </c>
      <c r="F44" s="5" t="n">
        <v>706277</v>
      </c>
      <c r="G44" s="5" t="inlineStr">
        <is>
          <t>Mikrotik</t>
        </is>
      </c>
      <c r="H44" s="5">
        <f>HYPERLINK("https://itrix.uz/product/1322", "🔗 Mahsulot sotib olish")</f>
        <v/>
      </c>
      <c r="I44" t="inlineStr">
        <is>
          <t>8-1322-1023</t>
        </is>
      </c>
    </row>
    <row r="45" ht="30" customHeight="1">
      <c r="A45" s="4" t="inlineStr">
        <is>
          <t>Routerlar</t>
        </is>
      </c>
      <c r="B45" s="4" t="inlineStr">
        <is>
          <t>MikroTik RB1100AHx4 marshrutizatori — 13 ta Gigabit portli, 4 yadroli, rackmount tarmoq yo‘riqnoma</t>
        </is>
      </c>
      <c r="C45" s="5" t="inlineStr"/>
      <c r="D45" s="5" t="n">
        <v>4334878</v>
      </c>
      <c r="E45" s="5" t="n">
        <v>3870427</v>
      </c>
      <c r="F45" s="5" t="n">
        <v>3572767</v>
      </c>
      <c r="G45" s="5" t="inlineStr">
        <is>
          <t>Mikrotik</t>
        </is>
      </c>
      <c r="H45" s="5">
        <f>HYPERLINK("https://itrix.uz/product/237", "🔗 Mahsulot sotib olish")</f>
        <v/>
      </c>
      <c r="I45" t="inlineStr">
        <is>
          <t>8-237-239</t>
        </is>
      </c>
    </row>
    <row r="46" ht="30" customHeight="1">
      <c r="A46" s="4" t="inlineStr">
        <is>
          <t>Routerlar</t>
        </is>
      </c>
      <c r="B46" s="4" t="inlineStr">
        <is>
          <t>Marshrutizator MikroTik RB5009UG+S+IN</t>
        </is>
      </c>
      <c r="C46" s="5" t="inlineStr"/>
      <c r="D46" s="5" t="n">
        <v>3074813</v>
      </c>
      <c r="E46" s="5" t="n">
        <v>2745369</v>
      </c>
      <c r="F46" s="5" t="n">
        <v>2534103</v>
      </c>
      <c r="G46" s="5" t="inlineStr">
        <is>
          <t>Mikrotik</t>
        </is>
      </c>
      <c r="H46" s="5">
        <f>HYPERLINK("https://itrix.uz/product/1324", "🔗 Mahsulot sotib olish")</f>
        <v/>
      </c>
      <c r="I46" t="inlineStr">
        <is>
          <t>8-1324-1025</t>
        </is>
      </c>
    </row>
    <row r="47" ht="30" customHeight="1">
      <c r="A47" s="4" t="inlineStr">
        <is>
          <t>Routerlar</t>
        </is>
      </c>
      <c r="B47" s="4" t="inlineStr">
        <is>
          <t>MikroTik RB5009UPr+S+IN marshrutizatori</t>
        </is>
      </c>
      <c r="C47" s="5" t="inlineStr"/>
      <c r="D47" s="5" t="n">
        <v>4133224</v>
      </c>
      <c r="E47" s="5" t="n">
        <v>3690379</v>
      </c>
      <c r="F47" s="5" t="n">
        <v>3406513</v>
      </c>
      <c r="G47" s="5" t="inlineStr">
        <is>
          <t>Mikrotik</t>
        </is>
      </c>
      <c r="H47" s="5">
        <f>HYPERLINK("https://itrix.uz/product/1325", "🔗 Mahsulot sotib olish")</f>
        <v/>
      </c>
      <c r="I47" t="inlineStr">
        <is>
          <t>8-1325-1026</t>
        </is>
      </c>
    </row>
    <row r="48" ht="30" customHeight="1">
      <c r="A48" s="4" t="inlineStr">
        <is>
          <t>Routerlar</t>
        </is>
      </c>
      <c r="B48" s="4" t="inlineStr">
        <is>
          <t>MikroTik hEX (RB750Gr3) routeri</t>
        </is>
      </c>
      <c r="C48" s="5" t="inlineStr"/>
      <c r="D48" s="5" t="n">
        <v>831686</v>
      </c>
      <c r="E48" s="5" t="n">
        <v>742577</v>
      </c>
      <c r="F48" s="5" t="n">
        <v>685465</v>
      </c>
      <c r="G48" s="5" t="inlineStr">
        <is>
          <t>Mikrotik</t>
        </is>
      </c>
      <c r="H48" s="5">
        <f>HYPERLINK("https://itrix.uz/product/1326", "🔗 Mahsulot sotib olish")</f>
        <v/>
      </c>
      <c r="I48" t="inlineStr">
        <is>
          <t>8-1326-1027</t>
        </is>
      </c>
    </row>
    <row r="49" ht="30" customHeight="1">
      <c r="A49" s="4" t="inlineStr">
        <is>
          <t>Routerlar</t>
        </is>
      </c>
      <c r="B49" s="4" t="inlineStr">
        <is>
          <t>Marshrutizator MikroTik hEX lite (RB750r2)</t>
        </is>
      </c>
      <c r="C49" s="5" t="inlineStr"/>
      <c r="D49" s="5" t="n">
        <v>680446</v>
      </c>
      <c r="E49" s="5" t="n">
        <v>607541</v>
      </c>
      <c r="F49" s="5" t="n">
        <v>560835</v>
      </c>
      <c r="G49" s="5" t="inlineStr">
        <is>
          <t>Mikrotik</t>
        </is>
      </c>
      <c r="H49" s="5">
        <f>HYPERLINK("https://itrix.uz/product/1327", "🔗 Mahsulot sotib olish")</f>
        <v/>
      </c>
      <c r="I49" t="inlineStr">
        <is>
          <t>8-1327-1028</t>
        </is>
      </c>
    </row>
    <row r="50" ht="30" customHeight="1">
      <c r="A50" s="4" t="inlineStr">
        <is>
          <t>Routerlar</t>
        </is>
      </c>
      <c r="B50" s="4" t="inlineStr">
        <is>
          <t xml:space="preserve">MikroTik hAP lite TC (RB941-2nD-TC) yo'naltirgichi </t>
        </is>
      </c>
      <c r="C50" s="5" t="inlineStr"/>
      <c r="D50" s="5" t="n">
        <v>352894</v>
      </c>
      <c r="E50" s="5" t="n">
        <v>315084</v>
      </c>
      <c r="F50" s="5" t="n">
        <v>290763</v>
      </c>
      <c r="G50" s="5" t="inlineStr">
        <is>
          <t>Mikrotik</t>
        </is>
      </c>
      <c r="H50" s="5">
        <f>HYPERLINK("https://itrix.uz/product/1328", "🔗 Mahsulot sotib olish")</f>
        <v/>
      </c>
      <c r="I50" t="inlineStr">
        <is>
          <t>8-1328-1029</t>
        </is>
      </c>
    </row>
    <row r="51" ht="30" customHeight="1">
      <c r="A51" s="4" t="inlineStr">
        <is>
          <t>Routerlar</t>
        </is>
      </c>
      <c r="B51" s="4" t="inlineStr">
        <is>
          <t>MikroTik hAP ac 3 (RBD53iG-5HacD2HnD) marshrutizatori</t>
        </is>
      </c>
      <c r="C51" s="5" t="inlineStr"/>
      <c r="D51" s="5" t="n">
        <v>1587752</v>
      </c>
      <c r="E51" s="5" t="n">
        <v>1417636</v>
      </c>
      <c r="F51" s="5" t="n">
        <v>1308615</v>
      </c>
      <c r="G51" s="5" t="inlineStr">
        <is>
          <t>Mikrotik</t>
        </is>
      </c>
      <c r="H51" s="5">
        <f>HYPERLINK("https://itrix.uz/product/1330", "🔗 Mahsulot sotib olish")</f>
        <v/>
      </c>
      <c r="I51" t="inlineStr">
        <is>
          <t>8-1330-1031</t>
        </is>
      </c>
    </row>
    <row r="52" ht="30" customHeight="1">
      <c r="A52" s="4" t="inlineStr">
        <is>
          <t>Routerlar</t>
        </is>
      </c>
      <c r="B52" s="4" t="inlineStr">
        <is>
          <t>Ubiquiti Next-Gen Gateway Lite (UXG-Lite) marshrutizatori</t>
        </is>
      </c>
      <c r="C52" s="5" t="inlineStr"/>
      <c r="D52" s="5" t="n">
        <v>1612959</v>
      </c>
      <c r="E52" s="5" t="n">
        <v>1440142</v>
      </c>
      <c r="F52" s="5" t="n">
        <v>1329427</v>
      </c>
      <c r="G52" s="5" t="inlineStr">
        <is>
          <t>UniFi UBIQUITI</t>
        </is>
      </c>
      <c r="H52" s="5">
        <f>HYPERLINK("https://itrix.uz/product/1454", "🔗 Mahsulot sotib olish")</f>
        <v/>
      </c>
      <c r="I52" t="inlineStr">
        <is>
          <t>8-1454-1154</t>
        </is>
      </c>
    </row>
    <row r="53" ht="30" customHeight="1">
      <c r="A53" s="4" t="inlineStr">
        <is>
          <t>Routerlar</t>
        </is>
      </c>
      <c r="B53" s="4" t="inlineStr">
        <is>
          <t>Ubiquiti Dream Machine (UDM) routeri</t>
        </is>
      </c>
      <c r="C53" s="5" t="inlineStr"/>
      <c r="D53" s="5" t="n">
        <v>5292598</v>
      </c>
      <c r="E53" s="5" t="n">
        <v>4725534</v>
      </c>
      <c r="F53" s="5" t="n">
        <v>4362050</v>
      </c>
      <c r="G53" s="5" t="inlineStr">
        <is>
          <t>UniFi UBIQUITI</t>
        </is>
      </c>
      <c r="H53" s="5">
        <f>HYPERLINK("https://itrix.uz/product/1408", "🔗 Mahsulot sotib olish")</f>
        <v/>
      </c>
      <c r="I53" t="inlineStr">
        <is>
          <t>8-1408-1108</t>
        </is>
      </c>
    </row>
    <row r="54" ht="30" customHeight="1">
      <c r="A54" s="4" t="inlineStr">
        <is>
          <t>Routerlar</t>
        </is>
      </c>
      <c r="B54" s="4" t="inlineStr">
        <is>
          <t>Wi-Fi router MikroTik wAP ax (wAPG-5HaxD2HaxD)</t>
        </is>
      </c>
      <c r="C54" s="5" t="inlineStr"/>
      <c r="D54" s="5" t="n">
        <v>1285407</v>
      </c>
      <c r="E54" s="5" t="n">
        <v>1147685</v>
      </c>
      <c r="F54" s="5" t="n">
        <v>1059355</v>
      </c>
      <c r="G54" s="5" t="inlineStr">
        <is>
          <t>Mikrotik</t>
        </is>
      </c>
      <c r="H54" s="5">
        <f>HYPERLINK("https://itrix.uz/product/1337", "🔗 Mahsulot sotib olish")</f>
        <v/>
      </c>
      <c r="I54" t="inlineStr">
        <is>
          <t>8-1337-1038</t>
        </is>
      </c>
    </row>
    <row r="55" ht="30" customHeight="1">
      <c r="A55" s="4" t="inlineStr">
        <is>
          <t>Routerlar</t>
        </is>
      </c>
      <c r="B55" s="4" t="inlineStr">
        <is>
          <t>Ubiquiti Dream Machine Special Edition (UDM-SE) marshrutizatori</t>
        </is>
      </c>
      <c r="C55" s="5" t="inlineStr"/>
      <c r="D55" s="5" t="n">
        <v>8417825</v>
      </c>
      <c r="E55" s="5" t="n">
        <v>7515915</v>
      </c>
      <c r="F55" s="5" t="n">
        <v>6937777</v>
      </c>
      <c r="G55" s="5" t="inlineStr">
        <is>
          <t>UniFi UBIQUITI</t>
        </is>
      </c>
      <c r="H55" s="5">
        <f>HYPERLINK("https://itrix.uz/product/1411", "🔗 Mahsulot sotib olish")</f>
        <v/>
      </c>
      <c r="I55" t="inlineStr">
        <is>
          <t>8-1411-1111</t>
        </is>
      </c>
    </row>
    <row r="56" ht="30" customHeight="1">
      <c r="A56" s="4" t="inlineStr">
        <is>
          <t>Routerlar</t>
        </is>
      </c>
      <c r="B56" s="4" t="inlineStr">
        <is>
          <t>Cisco C8200-1N-4T marshrutizatori</t>
        </is>
      </c>
      <c r="C56" s="5" t="inlineStr"/>
      <c r="D56" s="5" t="n">
        <v>71446144</v>
      </c>
      <c r="E56" s="5" t="n">
        <v>63791200</v>
      </c>
      <c r="F56" s="5" t="inlineStr"/>
      <c r="G56" s="5" t="inlineStr">
        <is>
          <t>Cisco</t>
        </is>
      </c>
      <c r="H56" s="5">
        <f>HYPERLINK("https://itrix.uz/product/1252", "🔗 Mahsulot sotib olish")</f>
        <v/>
      </c>
      <c r="I56" t="inlineStr">
        <is>
          <t>8-1252-963</t>
        </is>
      </c>
    </row>
    <row r="57" ht="30" customHeight="1">
      <c r="A57" s="4" t="inlineStr">
        <is>
          <t>Routerlar</t>
        </is>
      </c>
      <c r="B57" s="4" t="inlineStr">
        <is>
          <t>Ubiquiti UniFi Dream Router (UDR7) yo'naltirgichi</t>
        </is>
      </c>
      <c r="C57" s="5" t="inlineStr"/>
      <c r="D57" s="5" t="n">
        <v>4839013</v>
      </c>
      <c r="E57" s="5" t="n">
        <v>4320547</v>
      </c>
      <c r="F57" s="5" t="n">
        <v>3988160</v>
      </c>
      <c r="G57" s="5" t="inlineStr">
        <is>
          <t>UniFi UBIQUITI</t>
        </is>
      </c>
      <c r="H57" s="5">
        <f>HYPERLINK("https://itrix.uz/product/1412", "🔗 Mahsulot sotib olish")</f>
        <v/>
      </c>
      <c r="I57" t="inlineStr">
        <is>
          <t>8-1412-1112</t>
        </is>
      </c>
    </row>
    <row r="58" ht="30" customHeight="1">
      <c r="A58" s="4" t="inlineStr">
        <is>
          <t>Routerlar</t>
        </is>
      </c>
      <c r="B58" s="4" t="inlineStr">
        <is>
          <t>Cisco Catalyst C8200L-1N-4T marshrutizatori</t>
        </is>
      </c>
      <c r="C58" s="5" t="inlineStr"/>
      <c r="D58" s="5" t="n">
        <v>31738784</v>
      </c>
      <c r="E58" s="5" t="n">
        <v>28338200</v>
      </c>
      <c r="F58" s="5" t="inlineStr"/>
      <c r="G58" s="5" t="inlineStr">
        <is>
          <t>Cisco</t>
        </is>
      </c>
      <c r="H58" s="5">
        <f>HYPERLINK("https://itrix.uz/product/1256", "🔗 Mahsulot sotib olish")</f>
        <v/>
      </c>
      <c r="I58" t="inlineStr">
        <is>
          <t>8-1256-967</t>
        </is>
      </c>
    </row>
    <row r="59">
      <c r="A59" s="4" t="inlineStr">
        <is>
          <t>Routerlar</t>
        </is>
      </c>
      <c r="B59" s="4" t="inlineStr">
        <is>
          <t>MikroTik hEX S RB760iGS marshrutizatori — 5xGigabit portli, SFP slotli, kompaktnaya SOHO tarmoq yo‘riqnoma</t>
        </is>
      </c>
      <c r="C59" s="5" t="inlineStr"/>
      <c r="D59" s="5" t="n">
        <v>1134167</v>
      </c>
      <c r="E59" s="5" t="n">
        <v>1012649</v>
      </c>
      <c r="F59" s="5" t="n">
        <v>934725</v>
      </c>
      <c r="G59" s="5" t="inlineStr">
        <is>
          <t>Mikrotik</t>
        </is>
      </c>
      <c r="H59" s="5">
        <f>HYPERLINK("https://itrix.uz/product/242", "🔗 Mahsulot sotib olish")</f>
        <v/>
      </c>
      <c r="I59" t="inlineStr">
        <is>
          <t>8-242-244</t>
        </is>
      </c>
    </row>
    <row r="60" ht="30" customHeight="1">
      <c r="A60" s="4" t="inlineStr">
        <is>
          <t>Routerlar</t>
        </is>
      </c>
      <c r="B60" s="4" t="inlineStr">
        <is>
          <t>Grandstream GWN7001 marshrutizatori</t>
        </is>
      </c>
      <c r="C60" s="5" t="inlineStr"/>
      <c r="D60" s="5" t="n">
        <v>1008269</v>
      </c>
      <c r="E60" s="5" t="n">
        <v>900240</v>
      </c>
      <c r="F60" s="5" t="inlineStr"/>
      <c r="G60" s="5" t="inlineStr">
        <is>
          <t>Grandstream</t>
        </is>
      </c>
      <c r="H60" s="5">
        <f>HYPERLINK("https://itrix.uz/product/1263", "🔗 Mahsulot sotib olish")</f>
        <v/>
      </c>
      <c r="I60" t="inlineStr">
        <is>
          <t>8-1263-974</t>
        </is>
      </c>
    </row>
    <row r="61" ht="30" customHeight="1">
      <c r="A61" s="4" t="inlineStr">
        <is>
          <t>Routerlar</t>
        </is>
      </c>
      <c r="B61" s="4" t="inlineStr">
        <is>
          <t>Grandstream GWN7003 marshrutizatori</t>
        </is>
      </c>
      <c r="C61" s="5" t="inlineStr"/>
      <c r="D61" s="5" t="n">
        <v>1802416</v>
      </c>
      <c r="E61" s="5" t="n">
        <v>1609300</v>
      </c>
      <c r="F61" s="5" t="inlineStr"/>
      <c r="G61" s="5" t="inlineStr">
        <is>
          <t>Grandstream</t>
        </is>
      </c>
      <c r="H61" s="5">
        <f>HYPERLINK("https://itrix.uz/product/1264", "🔗 Mahsulot sotib olish")</f>
        <v/>
      </c>
      <c r="I61" t="inlineStr">
        <is>
          <t>8-1264-975</t>
        </is>
      </c>
    </row>
    <row r="62" ht="30" customHeight="1">
      <c r="A62" s="4" t="inlineStr">
        <is>
          <t>Routerlar</t>
        </is>
      </c>
      <c r="B62" s="4" t="inlineStr">
        <is>
          <t>Ubiquiti EdgeRouter (ER-X-SFP) marshrutizatori</t>
        </is>
      </c>
      <c r="C62" s="5" t="inlineStr"/>
      <c r="D62" s="5" t="n">
        <v>1436512</v>
      </c>
      <c r="E62" s="5" t="n">
        <v>1282600</v>
      </c>
      <c r="F62" s="5" t="n">
        <v>1183985</v>
      </c>
      <c r="G62" s="5" t="inlineStr">
        <is>
          <t>UniFi UBIQUITI</t>
        </is>
      </c>
      <c r="H62" s="5">
        <f>HYPERLINK("https://itrix.uz/product/1344", "🔗 Mahsulot sotib olish")</f>
        <v/>
      </c>
      <c r="I62" t="inlineStr">
        <is>
          <t>8-1344-1044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CA4DE0"/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30" customWidth="1" min="1" max="1"/>
    <col width="100" customWidth="1" min="2" max="2"/>
    <col width="30" customWidth="1" min="3" max="3"/>
    <col width="20" customWidth="1" min="4" max="4"/>
    <col width="20" customWidth="1" min="5" max="5"/>
    <col width="20" customWidth="1" min="6" max="6"/>
    <col width="25" customWidth="1" min="7" max="7"/>
    <col width="20" customWidth="1" min="8" max="8"/>
  </cols>
  <sheetData>
    <row r="1" ht="30" customHeight="1">
      <c r="A1" s="1" t="inlineStr">
        <is>
          <t>Kategoriya</t>
        </is>
      </c>
      <c r="B1" s="1" t="inlineStr">
        <is>
          <t>Mahsulot nomi</t>
        </is>
      </c>
      <c r="C1" s="2" t="inlineStr">
        <is>
          <t>Kafolat</t>
        </is>
      </c>
      <c r="D1" s="2" t="inlineStr">
        <is>
          <t>QQS bilan narxi</t>
        </is>
      </c>
      <c r="E1" s="2" t="inlineStr">
        <is>
          <t>QQSsiz narxi</t>
        </is>
      </c>
      <c r="F1" s="2" t="inlineStr">
        <is>
          <t>5 dona dan</t>
        </is>
      </c>
      <c r="G1" s="2" t="inlineStr">
        <is>
          <t>Brend</t>
        </is>
      </c>
      <c r="H1" s="2" t="inlineStr">
        <is>
          <t>Saytda</t>
        </is>
      </c>
      <c r="I1" s="3" t="inlineStr">
        <is>
          <t>SKU</t>
        </is>
      </c>
    </row>
    <row r="2" ht="30" customHeight="1">
      <c r="A2" s="4" t="inlineStr">
        <is>
          <t>Printerlar va komplekt qismlar</t>
        </is>
      </c>
      <c r="B2" s="4" t="inlineStr">
        <is>
          <t>Canon C-EXV 1001 Toner (B, C, M, Y, 5761C001AA)</t>
        </is>
      </c>
      <c r="C2" s="5" t="inlineStr"/>
      <c r="D2" s="5" t="n">
        <v>23377200</v>
      </c>
      <c r="E2" s="5" t="n">
        <v>20872500</v>
      </c>
      <c r="F2" s="5" t="inlineStr"/>
      <c r="G2" s="5" t="inlineStr">
        <is>
          <t>Canon</t>
        </is>
      </c>
      <c r="H2" s="5">
        <f>HYPERLINK("https://itrix.uz/product/1288", "🔗 Mahsulot sotib olish")</f>
        <v/>
      </c>
      <c r="I2" t="inlineStr">
        <is>
          <t>55-1288-999</t>
        </is>
      </c>
    </row>
    <row r="3" ht="30" customHeight="1">
      <c r="A3" s="4" t="inlineStr">
        <is>
          <t>Printerlar va komplekt qismlar</t>
        </is>
      </c>
      <c r="B3" s="4" t="inlineStr">
        <is>
          <t>Canon Cassette Feeding Unit-AY1 qo'shimcha kassetasi</t>
        </is>
      </c>
      <c r="C3" s="5" t="inlineStr"/>
      <c r="D3" s="5" t="n">
        <v>16940000</v>
      </c>
      <c r="E3" s="5" t="n">
        <v>15125000</v>
      </c>
      <c r="F3" s="5" t="inlineStr"/>
      <c r="G3" s="5" t="inlineStr">
        <is>
          <t>Canon</t>
        </is>
      </c>
      <c r="H3" s="5">
        <f>HYPERLINK("https://itrix.uz/product/1289", "🔗 Mahsulot sotib olish")</f>
        <v/>
      </c>
      <c r="I3" t="inlineStr">
        <is>
          <t>55-1289-1000</t>
        </is>
      </c>
    </row>
    <row r="4" ht="30" customHeight="1">
      <c r="A4" s="4" t="inlineStr">
        <is>
          <t>Printerlar va komplekt qismlar</t>
        </is>
      </c>
      <c r="B4" s="4" t="inlineStr">
        <is>
          <t>Canon image PROGRAF TX-4200 oqimli plotter</t>
        </is>
      </c>
      <c r="C4" s="5" t="inlineStr"/>
      <c r="D4" s="5" t="n">
        <v>60984000</v>
      </c>
      <c r="E4" s="5" t="n">
        <v>54450000</v>
      </c>
      <c r="F4" s="5" t="inlineStr"/>
      <c r="G4" s="5" t="inlineStr">
        <is>
          <t>Canon</t>
        </is>
      </c>
      <c r="H4" s="5">
        <f>HYPERLINK("https://itrix.uz/product/1285", "🔗 Mahsulot sotib olish")</f>
        <v/>
      </c>
      <c r="I4" t="inlineStr">
        <is>
          <t>55-1285-996</t>
        </is>
      </c>
    </row>
    <row r="5" ht="30" customHeight="1">
      <c r="A5" s="4" t="inlineStr">
        <is>
          <t>Printerlar va komplekt qismlar</t>
        </is>
      </c>
      <c r="B5" s="4" t="inlineStr">
        <is>
          <t>Canon imageRUNNER 2930i (5975C005AA) ko‘p funksiyali printer</t>
        </is>
      </c>
      <c r="C5" s="5" t="inlineStr"/>
      <c r="D5" s="5" t="n">
        <v>44044000</v>
      </c>
      <c r="E5" s="5" t="n">
        <v>39325000</v>
      </c>
      <c r="F5" s="5" t="inlineStr"/>
      <c r="G5" s="5" t="inlineStr">
        <is>
          <t>Canon</t>
        </is>
      </c>
      <c r="H5" s="5">
        <f>HYPERLINK("https://itrix.uz/product/1268", "🔗 Mahsulot sotib olish")</f>
        <v/>
      </c>
      <c r="I5" t="inlineStr">
        <is>
          <t>55-1268-979</t>
        </is>
      </c>
    </row>
    <row r="6" ht="30" customHeight="1">
      <c r="A6" s="4" t="inlineStr">
        <is>
          <t>Printerlar va komplekt qismlar</t>
        </is>
      </c>
      <c r="B6" s="4" t="inlineStr">
        <is>
          <t>Canon uskunalari uchun WIRELESS LAN BOARD-F1 5984C001AA moduli</t>
        </is>
      </c>
      <c r="C6" s="5" t="inlineStr"/>
      <c r="D6" s="5" t="n">
        <v>2202200</v>
      </c>
      <c r="E6" s="5" t="n">
        <v>1966250</v>
      </c>
      <c r="F6" s="5" t="inlineStr"/>
      <c r="G6" s="5" t="inlineStr">
        <is>
          <t>Canon</t>
        </is>
      </c>
      <c r="H6" s="5">
        <f>HYPERLINK("https://itrix.uz/product/1278", "🔗 Mahsulot sotib olish")</f>
        <v/>
      </c>
      <c r="I6" t="inlineStr">
        <is>
          <t>55-1278-989</t>
        </is>
      </c>
    </row>
    <row r="7" ht="30" customHeight="1">
      <c r="A7" s="4" t="inlineStr">
        <is>
          <t>Printerlar va komplekt qismlar</t>
        </is>
      </c>
      <c r="B7" s="4" t="inlineStr">
        <is>
          <t>Canon imageFORCE C5150 MFQ (ko'p funksiyali qurilma)</t>
        </is>
      </c>
      <c r="C7" s="5" t="inlineStr"/>
      <c r="D7" s="5" t="n">
        <v>101640000</v>
      </c>
      <c r="E7" s="5" t="n">
        <v>90750000</v>
      </c>
      <c r="F7" s="5" t="inlineStr"/>
      <c r="G7" s="5" t="inlineStr">
        <is>
          <t>Canon</t>
        </is>
      </c>
      <c r="H7" s="5">
        <f>HYPERLINK("https://itrix.uz/product/1286", "🔗 Mahsulot sotib olish")</f>
        <v/>
      </c>
      <c r="I7" t="inlineStr">
        <is>
          <t>55-1286-997</t>
        </is>
      </c>
    </row>
    <row r="8" ht="30" customHeight="1">
      <c r="A8" s="4" t="inlineStr">
        <is>
          <t>Printerlar va komplekt qismlar</t>
        </is>
      </c>
      <c r="B8" s="4" t="inlineStr">
        <is>
          <t>Canon imageRUNNER ADVANCE DX C3926i (5963C005AA) rangli ko'p funksiyali printer</t>
        </is>
      </c>
      <c r="C8" s="5" t="inlineStr"/>
      <c r="D8" s="5" t="n">
        <v>28798000</v>
      </c>
      <c r="E8" s="5" t="n">
        <v>25712500</v>
      </c>
      <c r="F8" s="5" t="inlineStr"/>
      <c r="G8" s="5" t="inlineStr">
        <is>
          <t>Canon</t>
        </is>
      </c>
      <c r="H8" s="5">
        <f>HYPERLINK("https://itrix.uz/product/1266", "🔗 Mahsulot sotib olish")</f>
        <v/>
      </c>
      <c r="I8" t="inlineStr">
        <is>
          <t>55-1266-977</t>
        </is>
      </c>
    </row>
    <row r="9" ht="30" customHeight="1">
      <c r="A9" s="4" t="inlineStr">
        <is>
          <t>Printerlar va komplekt qismlar</t>
        </is>
      </c>
      <c r="B9" s="4" t="inlineStr">
        <is>
          <t>Canon C3326I (5965C005AA) rangli lazerli MFP A3 printer</t>
        </is>
      </c>
      <c r="C9" s="5" t="inlineStr"/>
      <c r="D9" s="5" t="n">
        <v>28798000</v>
      </c>
      <c r="E9" s="5" t="n">
        <v>25712500</v>
      </c>
      <c r="F9" s="5" t="inlineStr"/>
      <c r="G9" s="5" t="inlineStr">
        <is>
          <t>Canon</t>
        </is>
      </c>
      <c r="H9" s="5">
        <f>HYPERLINK("https://itrix.uz/product/1267", "🔗 Mahsulot sotib olish")</f>
        <v/>
      </c>
      <c r="I9" t="inlineStr">
        <is>
          <t>55-1267-978</t>
        </is>
      </c>
    </row>
    <row r="10" ht="30" customHeight="1">
      <c r="A10" s="4" t="inlineStr">
        <is>
          <t>Printerlar va komplekt qismlar</t>
        </is>
      </c>
      <c r="B10" s="4" t="inlineStr">
        <is>
          <t>Canon C-EXV 67 (5746C002AA) Black toner Canon lazer printerlari uchun</t>
        </is>
      </c>
      <c r="C10" s="5" t="inlineStr"/>
      <c r="D10" s="5" t="n">
        <v>2032800</v>
      </c>
      <c r="E10" s="5" t="n">
        <v>1815000</v>
      </c>
      <c r="F10" s="5" t="inlineStr"/>
      <c r="G10" s="5" t="inlineStr">
        <is>
          <t>Canon</t>
        </is>
      </c>
      <c r="H10" s="5">
        <f>HYPERLINK("https://itrix.uz/product/1281", "🔗 Mahsulot sotib olish")</f>
        <v/>
      </c>
      <c r="I10" t="inlineStr">
        <is>
          <t>55-1281-992</t>
        </is>
      </c>
    </row>
    <row r="11" ht="30" customHeight="1">
      <c r="A11" s="4" t="inlineStr">
        <is>
          <t>Printerlar va komplekt qismlar</t>
        </is>
      </c>
      <c r="B11" s="4" t="inlineStr">
        <is>
          <t xml:space="preserve">Canon i-SENSYS MF463DW printer (+kartridj) </t>
        </is>
      </c>
      <c r="C11" s="5" t="inlineStr"/>
      <c r="D11" s="5" t="n">
        <v>7114800</v>
      </c>
      <c r="E11" s="5" t="n">
        <v>6352500</v>
      </c>
      <c r="F11" s="5" t="inlineStr"/>
      <c r="G11" s="5" t="inlineStr">
        <is>
          <t>Canon</t>
        </is>
      </c>
      <c r="H11" s="5">
        <f>HYPERLINK("https://itrix.uz/product/1276", "🔗 Mahsulot sotib olish")</f>
        <v/>
      </c>
      <c r="I11" t="inlineStr">
        <is>
          <t>55-1276-987</t>
        </is>
      </c>
    </row>
    <row r="12" ht="30" customHeight="1">
      <c r="A12" s="4" t="inlineStr">
        <is>
          <t>Printerlar va komplekt qismlar</t>
        </is>
      </c>
      <c r="B12" s="4" t="inlineStr">
        <is>
          <t>Canon DADF-BA1 3813C001AA hujjatlarni avtomatik uzatgich</t>
        </is>
      </c>
      <c r="C12" s="5" t="inlineStr"/>
      <c r="D12" s="5" t="n">
        <v>8131200</v>
      </c>
      <c r="E12" s="5" t="n">
        <v>7260000</v>
      </c>
      <c r="F12" s="5" t="inlineStr"/>
      <c r="G12" s="5" t="inlineStr">
        <is>
          <t>Canon</t>
        </is>
      </c>
      <c r="H12" s="5">
        <f>HYPERLINK("https://itrix.uz/product/1277", "🔗 Mahsulot sotib olish")</f>
        <v/>
      </c>
      <c r="I12" t="inlineStr">
        <is>
          <t>55-1277-988</t>
        </is>
      </c>
    </row>
    <row r="13" ht="30" customHeight="1">
      <c r="A13" s="4" t="inlineStr">
        <is>
          <t>Printerlar va komplekt qismlar</t>
        </is>
      </c>
      <c r="B13" s="4" t="inlineStr">
        <is>
          <t>Canon C-EXV 64 toner (B,C,M,Y 5761C001AA)</t>
        </is>
      </c>
      <c r="C13" s="5" t="inlineStr"/>
      <c r="D13" s="5" t="n">
        <v>8470000</v>
      </c>
      <c r="E13" s="5" t="n">
        <v>7562500</v>
      </c>
      <c r="F13" s="5" t="inlineStr"/>
      <c r="G13" s="5" t="inlineStr">
        <is>
          <t>Canon</t>
        </is>
      </c>
      <c r="H13" s="5">
        <f>HYPERLINK("https://itrix.uz/product/1280", "🔗 Mahsulot sotib olish")</f>
        <v/>
      </c>
      <c r="I13" t="inlineStr">
        <is>
          <t>55-1280-991</t>
        </is>
      </c>
    </row>
    <row r="14" ht="30" customHeight="1">
      <c r="A14" s="4" t="inlineStr">
        <is>
          <t>Printerlar va komplekt qismlar</t>
        </is>
      </c>
      <c r="B14" s="4" t="inlineStr">
        <is>
          <t>Canon i-SENSYS MF237w lazerli MFP +kartridj (oq-qora,Wi-Fi va faks)</t>
        </is>
      </c>
      <c r="C14" s="5" t="inlineStr"/>
      <c r="D14" s="5" t="n">
        <v>5082000</v>
      </c>
      <c r="E14" s="5" t="n">
        <v>4537500</v>
      </c>
      <c r="F14" s="5" t="inlineStr"/>
      <c r="G14" s="5" t="inlineStr">
        <is>
          <t>Canon</t>
        </is>
      </c>
      <c r="H14" s="5">
        <f>HYPERLINK("https://itrix.uz/product/1282", "🔗 Mahsulot sotib olish")</f>
        <v/>
      </c>
      <c r="I14" t="inlineStr">
        <is>
          <t>55-1282-993</t>
        </is>
      </c>
    </row>
    <row r="15" ht="30" customHeight="1">
      <c r="A15" s="4" t="inlineStr">
        <is>
          <t>Printerlar va komplekt qismlar</t>
        </is>
      </c>
      <c r="B15" s="4" t="inlineStr">
        <is>
          <t>Canon imagePROGRAF TM-255 plotteri — (keng formatli printer)</t>
        </is>
      </c>
      <c r="C15" s="5" t="inlineStr"/>
      <c r="D15" s="5" t="n">
        <v>19481000</v>
      </c>
      <c r="E15" s="5" t="n">
        <v>17393750</v>
      </c>
      <c r="F15" s="5" t="inlineStr"/>
      <c r="G15" s="5" t="inlineStr"/>
      <c r="H15" s="5">
        <f>HYPERLINK("https://itrix.uz/product/1283", "🔗 Mahsulot sotib olish")</f>
        <v/>
      </c>
      <c r="I15" t="inlineStr">
        <is>
          <t>55-1283-994</t>
        </is>
      </c>
    </row>
    <row r="16" ht="30" customHeight="1">
      <c r="A16" s="4" t="inlineStr">
        <is>
          <t>Printerlar va komplekt qismlar</t>
        </is>
      </c>
      <c r="B16" s="4" t="inlineStr">
        <is>
          <t>Canon imagePROGRAF TM-350 plotteri — keng formatli yuqori sifatli chop etish</t>
        </is>
      </c>
      <c r="C16" s="5" t="inlineStr"/>
      <c r="D16" s="5" t="n">
        <v>28798000</v>
      </c>
      <c r="E16" s="5" t="n">
        <v>25712500</v>
      </c>
      <c r="F16" s="5" t="inlineStr"/>
      <c r="G16" s="5" t="inlineStr">
        <is>
          <t>Canon</t>
        </is>
      </c>
      <c r="H16" s="5">
        <f>HYPERLINK("https://itrix.uz/product/1284", "🔗 Mahsulot sotib olish")</f>
        <v/>
      </c>
      <c r="I16" t="inlineStr">
        <is>
          <t>55-1284-995</t>
        </is>
      </c>
    </row>
    <row r="17" ht="30" customHeight="1">
      <c r="A17" s="4" t="inlineStr">
        <is>
          <t>Printerlar va komplekt qismlar</t>
        </is>
      </c>
      <c r="B17" s="4" t="inlineStr">
        <is>
          <t>Canon Wireless LAN Board-F1 tarmoq adapteri (Canon printer va MFP uchun)</t>
        </is>
      </c>
      <c r="C17" s="5" t="inlineStr"/>
      <c r="D17" s="5" t="n">
        <v>2286900</v>
      </c>
      <c r="E17" s="5" t="n">
        <v>2041875</v>
      </c>
      <c r="F17" s="5" t="inlineStr"/>
      <c r="G17" s="5" t="inlineStr">
        <is>
          <t>Canon</t>
        </is>
      </c>
      <c r="H17" s="5">
        <f>HYPERLINK("https://itrix.uz/product/1287", "🔗 Mahsulot sotib olish")</f>
        <v/>
      </c>
      <c r="I17" t="inlineStr">
        <is>
          <t>55-1287-998</t>
        </is>
      </c>
    </row>
    <row r="18" ht="30" customHeight="1">
      <c r="A18" s="4" t="inlineStr">
        <is>
          <t>Printerlar va komplekt qismlar</t>
        </is>
      </c>
      <c r="B18" s="4" t="inlineStr">
        <is>
          <t>Canon C-EXV 65 toner (C, M, Y, K, 5763C001AA)</t>
        </is>
      </c>
      <c r="C18" s="5" t="inlineStr"/>
      <c r="D18" s="5" t="n">
        <v>6776000</v>
      </c>
      <c r="E18" s="5" t="n">
        <v>6050000</v>
      </c>
      <c r="F18" s="5" t="inlineStr"/>
      <c r="G18" s="5" t="inlineStr">
        <is>
          <t>Canon</t>
        </is>
      </c>
      <c r="H18" s="5">
        <f>HYPERLINK("https://itrix.uz/product/1279", "🔗 Mahsulot sotib olish")</f>
        <v/>
      </c>
      <c r="I18" t="inlineStr">
        <is>
          <t>55-1279-990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9C981D"/>
    <outlinePr summaryBelow="1" summaryRight="1"/>
    <pageSetUpPr/>
  </sheetPr>
  <dimension ref="A1:I104"/>
  <sheetViews>
    <sheetView workbookViewId="0">
      <selection activeCell="A1" sqref="A1"/>
    </sheetView>
  </sheetViews>
  <sheetFormatPr baseColWidth="8" defaultRowHeight="15"/>
  <cols>
    <col width="30" customWidth="1" min="1" max="1"/>
    <col width="100" customWidth="1" min="2" max="2"/>
    <col width="30" customWidth="1" min="3" max="3"/>
    <col width="20" customWidth="1" min="4" max="4"/>
    <col width="20" customWidth="1" min="5" max="5"/>
    <col width="20" customWidth="1" min="6" max="6"/>
    <col width="25" customWidth="1" min="7" max="7"/>
    <col width="20" customWidth="1" min="8" max="8"/>
  </cols>
  <sheetData>
    <row r="1" ht="30" customHeight="1">
      <c r="A1" s="1" t="inlineStr">
        <is>
          <t>Kategoriya</t>
        </is>
      </c>
      <c r="B1" s="1" t="inlineStr">
        <is>
          <t>Mahsulot nomi</t>
        </is>
      </c>
      <c r="C1" s="2" t="inlineStr">
        <is>
          <t>Kafolat</t>
        </is>
      </c>
      <c r="D1" s="2" t="inlineStr">
        <is>
          <t>QQS bilan narxi</t>
        </is>
      </c>
      <c r="E1" s="2" t="inlineStr">
        <is>
          <t>QQSsiz narxi</t>
        </is>
      </c>
      <c r="F1" s="2" t="inlineStr">
        <is>
          <t>5 dona dan</t>
        </is>
      </c>
      <c r="G1" s="2" t="inlineStr">
        <is>
          <t>Brend</t>
        </is>
      </c>
      <c r="H1" s="2" t="inlineStr">
        <is>
          <t>Saytda</t>
        </is>
      </c>
      <c r="I1" s="3" t="inlineStr">
        <is>
          <t>SKU</t>
        </is>
      </c>
    </row>
    <row r="2" ht="30" customHeight="1">
      <c r="A2" s="4" t="inlineStr">
        <is>
          <t>Abonent terminal qurilmalari (ONU / ONT)</t>
        </is>
      </c>
      <c r="B2" s="4" t="inlineStr">
        <is>
          <t>Abonent terminali ONU BDCOM GPON, 2 port 10/100/1000Base-T</t>
        </is>
      </c>
      <c r="C2" s="5" t="inlineStr"/>
      <c r="D2" s="5" t="n">
        <v>688577</v>
      </c>
      <c r="E2" s="5" t="n">
        <v>614801</v>
      </c>
      <c r="F2" s="5" t="inlineStr"/>
      <c r="G2" s="5" t="inlineStr"/>
      <c r="H2" s="5">
        <f>HYPERLINK("https://itrix.uz/product/800", "🔗 Mahsulot sotib olish")</f>
        <v/>
      </c>
      <c r="I2" t="inlineStr">
        <is>
          <t>43-800-703</t>
        </is>
      </c>
    </row>
    <row r="3" ht="30" customHeight="1">
      <c r="A3" s="4" t="inlineStr">
        <is>
          <t>SFP modullar</t>
        </is>
      </c>
      <c r="B3" s="4" t="inlineStr">
        <is>
          <t xml:space="preserve">SFP-modul Grandstream F-SM1310-10KM-10G </t>
        </is>
      </c>
      <c r="C3" s="5" t="inlineStr"/>
      <c r="D3" s="5" t="n">
        <v>443964</v>
      </c>
      <c r="E3" s="5" t="n">
        <v>396396</v>
      </c>
      <c r="F3" s="5" t="inlineStr"/>
      <c r="G3" s="5" t="inlineStr">
        <is>
          <t>Grandstream</t>
        </is>
      </c>
      <c r="H3" s="5">
        <f>HYPERLINK("https://itrix.uz/product/926", "🔗 Mahsulot sotib olish")</f>
        <v/>
      </c>
      <c r="I3" t="inlineStr">
        <is>
          <t>43-926-816</t>
        </is>
      </c>
    </row>
    <row r="4" ht="30" customHeight="1">
      <c r="A4" s="4" t="inlineStr">
        <is>
          <t>SFP modullar</t>
        </is>
      </c>
      <c r="B4" s="4" t="inlineStr">
        <is>
          <t>SFP WDM moduli, 3 km gacha (6dB), 1310nm</t>
        </is>
      </c>
      <c r="C4" s="5" t="inlineStr"/>
      <c r="D4" s="5" t="n">
        <v>198130</v>
      </c>
      <c r="E4" s="5" t="n">
        <v>176902</v>
      </c>
      <c r="F4" s="5" t="inlineStr"/>
      <c r="G4" s="5" t="inlineStr">
        <is>
          <t>SNR</t>
        </is>
      </c>
      <c r="H4" s="5">
        <f>HYPERLINK("https://itrix.uz/product/788", "🔗 Mahsulot sotib olish")</f>
        <v/>
      </c>
      <c r="I4" t="inlineStr">
        <is>
          <t>43-788-771</t>
        </is>
      </c>
    </row>
    <row r="5" ht="30" customHeight="1">
      <c r="A5" s="4" t="inlineStr">
        <is>
          <t>Abonent terminal qurilmalari (ONU / ONT)</t>
        </is>
      </c>
      <c r="B5" s="4" t="inlineStr">
        <is>
          <t>Abonent terminali ONU GPON, 1 port 10/100/1000Base-T, RF</t>
        </is>
      </c>
      <c r="C5" s="5" t="inlineStr"/>
      <c r="D5" s="5" t="n">
        <v>494106</v>
      </c>
      <c r="E5" s="5" t="n">
        <v>441166</v>
      </c>
      <c r="F5" s="5" t="inlineStr"/>
      <c r="G5" s="5" t="inlineStr"/>
      <c r="H5" s="5">
        <f>HYPERLINK("https://itrix.uz/product/737", "🔗 Mahsulot sotib olish")</f>
        <v/>
      </c>
      <c r="I5" t="inlineStr">
        <is>
          <t>43-737-648</t>
        </is>
      </c>
    </row>
    <row r="6" ht="30" customHeight="1">
      <c r="A6" s="4" t="inlineStr">
        <is>
          <t>SFP modullar</t>
        </is>
      </c>
      <c r="B6" s="4" t="inlineStr">
        <is>
          <t>Optik CWDM SFP moduli, 60 km gacha (17dB), 1490nm</t>
        </is>
      </c>
      <c r="C6" s="5" t="inlineStr"/>
      <c r="D6" s="5" t="n">
        <v>1255864</v>
      </c>
      <c r="E6" s="5" t="n">
        <v>1121307</v>
      </c>
      <c r="F6" s="5" t="inlineStr"/>
      <c r="G6" s="5" t="inlineStr">
        <is>
          <t>SNR</t>
        </is>
      </c>
      <c r="H6" s="5">
        <f>HYPERLINK("https://itrix.uz/product/785", "🔗 Mahsulot sotib olish")</f>
        <v/>
      </c>
      <c r="I6" t="inlineStr">
        <is>
          <t>43-785-639</t>
        </is>
      </c>
    </row>
    <row r="7" ht="30" customHeight="1">
      <c r="A7" s="4" t="inlineStr">
        <is>
          <t>SFP+ modullar</t>
        </is>
      </c>
      <c r="B7" s="4" t="inlineStr">
        <is>
          <t>SFP+ 10G moduli RJ45 interfeysi bilan, 20m gacha</t>
        </is>
      </c>
      <c r="C7" s="5" t="inlineStr"/>
      <c r="D7" s="5" t="n">
        <v>1094188</v>
      </c>
      <c r="E7" s="5" t="n">
        <v>976954</v>
      </c>
      <c r="F7" s="5" t="inlineStr"/>
      <c r="G7" s="5" t="inlineStr">
        <is>
          <t>SNR</t>
        </is>
      </c>
      <c r="H7" s="5">
        <f>HYPERLINK("https://itrix.uz/product/739", "🔗 Mahsulot sotib olish")</f>
        <v/>
      </c>
      <c r="I7" t="inlineStr">
        <is>
          <t>43-739-650</t>
        </is>
      </c>
    </row>
    <row r="8" ht="30" customHeight="1">
      <c r="A8" s="4" t="inlineStr">
        <is>
          <t>QSFP+ modullar</t>
        </is>
      </c>
      <c r="B8" s="4" t="inlineStr">
        <is>
          <t>Ikki tolali modul, QSFP+ 40GBASE-LR4, LC ulagich, masofa 20 km gacha</t>
        </is>
      </c>
      <c r="C8" s="5" t="inlineStr"/>
      <c r="D8" s="5" t="n">
        <v>6274847</v>
      </c>
      <c r="E8" s="5" t="n">
        <v>5602542</v>
      </c>
      <c r="F8" s="5" t="inlineStr"/>
      <c r="G8" s="5" t="inlineStr"/>
      <c r="H8" s="5">
        <f>HYPERLINK("https://itrix.uz/product/738", "🔗 Mahsulot sotib olish")</f>
        <v/>
      </c>
      <c r="I8" t="inlineStr">
        <is>
          <t>43-738-649</t>
        </is>
      </c>
    </row>
    <row r="9" ht="30" customHeight="1">
      <c r="A9" s="4" t="inlineStr">
        <is>
          <t>QSFP+ modullar</t>
        </is>
      </c>
      <c r="B9" s="4" t="inlineStr">
        <is>
          <t>QSFP+ 40GBASE-SR4 moduli, MPO rozemi, 100m gacha masofa</t>
        </is>
      </c>
      <c r="C9" s="5" t="inlineStr"/>
      <c r="D9" s="5" t="n">
        <v>1806075</v>
      </c>
      <c r="E9" s="5" t="n">
        <v>1612567</v>
      </c>
      <c r="F9" s="5" t="inlineStr"/>
      <c r="G9" s="5" t="inlineStr">
        <is>
          <t>SNR</t>
        </is>
      </c>
      <c r="H9" s="5">
        <f>HYPERLINK("https://itrix.uz/product/749", "🔗 Mahsulot sotib olish")</f>
        <v/>
      </c>
      <c r="I9" t="inlineStr">
        <is>
          <t>43-749-659</t>
        </is>
      </c>
    </row>
    <row r="10" ht="30" customHeight="1">
      <c r="A10" s="4" t="inlineStr">
        <is>
          <t>SFP+ modullar</t>
        </is>
      </c>
      <c r="B10" s="4" t="inlineStr">
        <is>
          <t>SFP+ DWDM optik moduli, 80 km gacha masofa (24dB), 1529.55nm</t>
        </is>
      </c>
      <c r="C10" s="5" t="inlineStr"/>
      <c r="D10" s="5" t="n">
        <v>8257234</v>
      </c>
      <c r="E10" s="5" t="n">
        <v>7372530</v>
      </c>
      <c r="F10" s="5" t="inlineStr"/>
      <c r="G10" s="5" t="inlineStr">
        <is>
          <t>SNR</t>
        </is>
      </c>
      <c r="H10" s="5">
        <f>HYPERLINK("https://itrix.uz/product/762", "🔗 Mahsulot sotib olish")</f>
        <v/>
      </c>
      <c r="I10" t="inlineStr">
        <is>
          <t>43-762-671</t>
        </is>
      </c>
    </row>
    <row r="11" ht="30" customHeight="1">
      <c r="A11" s="4" t="inlineStr">
        <is>
          <t>SFP modullar</t>
        </is>
      </c>
      <c r="B11" s="4" t="inlineStr">
        <is>
          <t>100M SFP modul, RJ45 interfeysi bilan, 100 metr gacha</t>
        </is>
      </c>
      <c r="C11" s="5" t="inlineStr"/>
      <c r="D11" s="5" t="n">
        <v>910017</v>
      </c>
      <c r="E11" s="5" t="n">
        <v>812515</v>
      </c>
      <c r="F11" s="5" t="inlineStr"/>
      <c r="G11" s="5" t="inlineStr">
        <is>
          <t>SNR</t>
        </is>
      </c>
      <c r="H11" s="5">
        <f>HYPERLINK("https://itrix.uz/product/681", "🔗 Mahsulot sotib olish")</f>
        <v/>
      </c>
      <c r="I11" t="inlineStr">
        <is>
          <t>43-681-626</t>
        </is>
      </c>
    </row>
    <row r="12" ht="30" customHeight="1">
      <c r="A12" s="4" t="inlineStr">
        <is>
          <t>SFP modullar</t>
        </is>
      </c>
      <c r="B12" s="4" t="inlineStr">
        <is>
          <t>B-OptiX SFP WDM moduli, 20 km gacha masofa LC (14dB), 1550nm</t>
        </is>
      </c>
      <c r="C12" s="5" t="inlineStr"/>
      <c r="D12" s="5" t="n">
        <v>266161</v>
      </c>
      <c r="E12" s="5" t="n">
        <v>237644</v>
      </c>
      <c r="F12" s="5" t="inlineStr"/>
      <c r="G12" s="5" t="inlineStr"/>
      <c r="H12" s="5">
        <f>HYPERLINK("https://itrix.uz/product/816", "🔗 Mahsulot sotib olish")</f>
        <v/>
      </c>
      <c r="I12" t="inlineStr">
        <is>
          <t>43-816-719</t>
        </is>
      </c>
    </row>
    <row r="13" ht="30" customHeight="1">
      <c r="A13" s="4" t="inlineStr">
        <is>
          <t>Abonent terminal qurilmalari (ONU / ONT)</t>
        </is>
      </c>
      <c r="B13" s="4" t="inlineStr">
        <is>
          <t>ONU GPON abonent terminali, 4 ta 10/100/1000Base-T port, WiFi 2.4/5, C+</t>
        </is>
      </c>
      <c r="C13" s="5" t="inlineStr"/>
      <c r="D13" s="5" t="n">
        <v>770431</v>
      </c>
      <c r="E13" s="5" t="n">
        <v>687885</v>
      </c>
      <c r="F13" s="5" t="inlineStr"/>
      <c r="G13" s="5" t="inlineStr"/>
      <c r="H13" s="5">
        <f>HYPERLINK("https://itrix.uz/product/684", "🔗 Mahsulot sotib olish")</f>
        <v/>
      </c>
      <c r="I13" t="inlineStr">
        <is>
          <t>43-684-629</t>
        </is>
      </c>
    </row>
    <row r="14" ht="30" customHeight="1">
      <c r="A14" s="4" t="inlineStr">
        <is>
          <t>Optik bo‘luvchi</t>
        </is>
      </c>
      <c r="B14" s="4" t="inlineStr">
        <is>
          <t>PLC-M-1x2 optik splitter, korpusisiz, tugallanmagan</t>
        </is>
      </c>
      <c r="C14" s="5" t="inlineStr"/>
      <c r="D14" s="5" t="n">
        <v>69928</v>
      </c>
      <c r="E14" s="5" t="n">
        <v>62436</v>
      </c>
      <c r="F14" s="5" t="inlineStr"/>
      <c r="G14" s="5" t="inlineStr">
        <is>
          <t>SNR</t>
        </is>
      </c>
      <c r="H14" s="5">
        <f>HYPERLINK("https://itrix.uz/product/687", "🔗 Mahsulot sotib olish")</f>
        <v/>
      </c>
      <c r="I14" t="inlineStr">
        <is>
          <t>43-687-631</t>
        </is>
      </c>
    </row>
    <row r="15" ht="30" customHeight="1">
      <c r="A15" s="4" t="inlineStr">
        <is>
          <t>SFP+ modullar</t>
        </is>
      </c>
      <c r="B15" s="4" t="inlineStr">
        <is>
          <t>SFP+ WDM moduli, 40 km gacha masofa (16dB), 1330nm</t>
        </is>
      </c>
      <c r="C15" s="5" t="inlineStr"/>
      <c r="D15" s="5" t="n">
        <v>1238788</v>
      </c>
      <c r="E15" s="5" t="n">
        <v>1106061</v>
      </c>
      <c r="F15" s="5" t="inlineStr"/>
      <c r="G15" s="5" t="inlineStr">
        <is>
          <t>SNR</t>
        </is>
      </c>
      <c r="H15" s="5">
        <f>HYPERLINK("https://itrix.uz/product/767", "🔗 Mahsulot sotib olish")</f>
        <v/>
      </c>
      <c r="I15" t="inlineStr">
        <is>
          <t>43-767-676</t>
        </is>
      </c>
    </row>
    <row r="16" ht="30" customHeight="1">
      <c r="A16" s="4" t="inlineStr">
        <is>
          <t>Optik bo‘luvchi</t>
        </is>
      </c>
      <c r="B16" s="4" t="inlineStr">
        <is>
          <t>Optik bo‘luvchi korpusli uchta oynali 1x2 SC/APC</t>
        </is>
      </c>
      <c r="C16" s="5" t="inlineStr"/>
      <c r="D16" s="5" t="n">
        <v>93102</v>
      </c>
      <c r="E16" s="5" t="n">
        <v>83127</v>
      </c>
      <c r="F16" s="5" t="inlineStr"/>
      <c r="G16" s="5" t="inlineStr"/>
      <c r="H16" s="5">
        <f>HYPERLINK("https://itrix.uz/product/779", "🔗 Mahsulot sotib olish")</f>
        <v/>
      </c>
      <c r="I16" t="inlineStr">
        <is>
          <t>43-779-686</t>
        </is>
      </c>
    </row>
    <row r="17" ht="30" customHeight="1">
      <c r="A17" s="4" t="inlineStr">
        <is>
          <t>SFP modullar</t>
        </is>
      </c>
      <c r="B17" s="4" t="inlineStr">
        <is>
          <t>SFP optik moduli, 20 km gacha masofa (14dB), 1550nm, sanoat versiyasi</t>
        </is>
      </c>
      <c r="C17" s="5" t="inlineStr"/>
      <c r="D17" s="5" t="n">
        <v>483671</v>
      </c>
      <c r="E17" s="5" t="n">
        <v>431849</v>
      </c>
      <c r="F17" s="5" t="inlineStr"/>
      <c r="G17" s="5" t="inlineStr">
        <is>
          <t>SNR</t>
        </is>
      </c>
      <c r="H17" s="5">
        <f>HYPERLINK("https://itrix.uz/product/744", "🔗 Mahsulot sotib olish")</f>
        <v/>
      </c>
      <c r="I17" t="inlineStr">
        <is>
          <t>43-744-654</t>
        </is>
      </c>
    </row>
    <row r="18" ht="30" customHeight="1">
      <c r="A18" s="4" t="inlineStr">
        <is>
          <t>SFP modullar</t>
        </is>
      </c>
      <c r="B18" s="4" t="inlineStr">
        <is>
          <t>B-OptiX SFP moduli RJ45 interfeysi bilan, 100m gacha</t>
        </is>
      </c>
      <c r="C18" s="5" t="inlineStr"/>
      <c r="D18" s="5" t="n">
        <v>322538</v>
      </c>
      <c r="E18" s="5" t="n">
        <v>287980</v>
      </c>
      <c r="F18" s="5" t="inlineStr"/>
      <c r="G18" s="5" t="inlineStr"/>
      <c r="H18" s="5">
        <f>HYPERLINK("https://itrix.uz/product/727", "🔗 Mahsulot sotib olish")</f>
        <v/>
      </c>
      <c r="I18" t="inlineStr">
        <is>
          <t>43-727-636</t>
        </is>
      </c>
    </row>
    <row r="19" ht="30" customHeight="1">
      <c r="A19" s="4" t="inlineStr">
        <is>
          <t>SFP modullar</t>
        </is>
      </c>
      <c r="B19" s="4" t="inlineStr">
        <is>
          <t>B-OptiX SFP WDM moduli, 20km gacha masofa LC (14dB), 1310nm</t>
        </is>
      </c>
      <c r="C19" s="5" t="inlineStr"/>
      <c r="D19" s="5" t="n">
        <v>188779</v>
      </c>
      <c r="E19" s="5" t="n">
        <v>168553</v>
      </c>
      <c r="F19" s="5" t="inlineStr"/>
      <c r="G19" s="5" t="inlineStr"/>
      <c r="H19" s="5">
        <f>HYPERLINK("https://itrix.uz/product/728", "🔗 Mahsulot sotib olish")</f>
        <v/>
      </c>
      <c r="I19" t="inlineStr">
        <is>
          <t>43-728-637</t>
        </is>
      </c>
    </row>
    <row r="20" ht="30" customHeight="1">
      <c r="A20" s="4" t="inlineStr">
        <is>
          <t>SFP modullar</t>
        </is>
      </c>
      <c r="B20" s="4" t="inlineStr">
        <is>
          <t>Optik CWDM SFP moduli, 60 km gacha (17dB), 1610nm</t>
        </is>
      </c>
      <c r="C20" s="5" t="inlineStr"/>
      <c r="D20" s="5" t="n">
        <v>1255864</v>
      </c>
      <c r="E20" s="5" t="n">
        <v>1121307</v>
      </c>
      <c r="F20" s="5" t="inlineStr"/>
      <c r="G20" s="5" t="inlineStr">
        <is>
          <t>SNR</t>
        </is>
      </c>
      <c r="H20" s="5">
        <f>HYPERLINK("https://itrix.uz/product/780", "🔗 Mahsulot sotib olish")</f>
        <v/>
      </c>
      <c r="I20" t="inlineStr">
        <is>
          <t>43-780-687</t>
        </is>
      </c>
    </row>
    <row r="21" ht="30" customHeight="1">
      <c r="A21" s="4" t="inlineStr">
        <is>
          <t>Taqsimlash qutilari</t>
        </is>
      </c>
      <c r="B21" s="4" t="inlineStr">
        <is>
          <t>SNR-FTTH-FDB-48A optik taqsimlash qutisi</t>
        </is>
      </c>
      <c r="C21" s="5" t="inlineStr"/>
      <c r="D21" s="5" t="n">
        <v>404663</v>
      </c>
      <c r="E21" s="5" t="n">
        <v>361306</v>
      </c>
      <c r="F21" s="5" t="inlineStr"/>
      <c r="G21" s="5" t="inlineStr">
        <is>
          <t>SNR</t>
        </is>
      </c>
      <c r="H21" s="5">
        <f>HYPERLINK("https://itrix.uz/product/683", "🔗 Mahsulot sotib olish")</f>
        <v/>
      </c>
      <c r="I21" t="inlineStr">
        <is>
          <t>43-683-628</t>
        </is>
      </c>
    </row>
    <row r="22" ht="30" customHeight="1">
      <c r="A22" s="4" t="inlineStr">
        <is>
          <t>SFP modullar</t>
        </is>
      </c>
      <c r="B22" s="4" t="inlineStr">
        <is>
          <t>SFP WDM moduli, 20 km gacha (14dB), 1310nm, 100Mb</t>
        </is>
      </c>
      <c r="C22" s="5" t="inlineStr"/>
      <c r="D22" s="5" t="n">
        <v>372816</v>
      </c>
      <c r="E22" s="5" t="n">
        <v>332871</v>
      </c>
      <c r="F22" s="5" t="inlineStr"/>
      <c r="G22" s="5" t="inlineStr">
        <is>
          <t>SNR</t>
        </is>
      </c>
      <c r="H22" s="5">
        <f>HYPERLINK("https://itrix.uz/product/790", "🔗 Mahsulot sotib olish")</f>
        <v/>
      </c>
      <c r="I22" t="inlineStr">
        <is>
          <t>43-790-693</t>
        </is>
      </c>
    </row>
    <row r="23" ht="30" customHeight="1">
      <c r="A23" s="4" t="inlineStr">
        <is>
          <t>SFP modullar</t>
        </is>
      </c>
      <c r="B23" s="4" t="inlineStr">
        <is>
          <t>SFP WDM GEPON moduli, 20 km gacha masofa (32dB), Tx/Rx: 1490/1310nm</t>
        </is>
      </c>
      <c r="C23" s="5" t="inlineStr"/>
      <c r="D23" s="5" t="n">
        <v>767450</v>
      </c>
      <c r="E23" s="5" t="n">
        <v>685223</v>
      </c>
      <c r="F23" s="5" t="inlineStr"/>
      <c r="G23" s="5" t="inlineStr">
        <is>
          <t>SNR</t>
        </is>
      </c>
      <c r="H23" s="5">
        <f>HYPERLINK("https://itrix.uz/product/745", "🔗 Mahsulot sotib olish")</f>
        <v/>
      </c>
      <c r="I23" t="inlineStr">
        <is>
          <t>43-745-655</t>
        </is>
      </c>
    </row>
    <row r="24" ht="30" customHeight="1">
      <c r="A24" s="4" t="inlineStr">
        <is>
          <t>SFP modullar</t>
        </is>
      </c>
      <c r="B24" s="4" t="inlineStr">
        <is>
          <t>Optik CWDM SFP moduli, 60 km gacha (17dB), 1590nm</t>
        </is>
      </c>
      <c r="C24" s="5" t="inlineStr"/>
      <c r="D24" s="5" t="n">
        <v>1255864</v>
      </c>
      <c r="E24" s="5" t="n">
        <v>1121307</v>
      </c>
      <c r="F24" s="5" t="inlineStr"/>
      <c r="G24" s="5" t="inlineStr">
        <is>
          <t>SNR</t>
        </is>
      </c>
      <c r="H24" s="5">
        <f>HYPERLINK("https://itrix.uz/product/781", "🔗 Mahsulot sotib olish")</f>
        <v/>
      </c>
      <c r="I24" t="inlineStr">
        <is>
          <t>43-781-688</t>
        </is>
      </c>
    </row>
    <row r="25" ht="30" customHeight="1">
      <c r="A25" s="4" t="inlineStr">
        <is>
          <t>QSFP28 modullar</t>
        </is>
      </c>
      <c r="B25" s="4" t="inlineStr">
        <is>
          <t>QSFP28 100GBASE-LR4 optik moduli, LC ulagichli, 10 km gacha</t>
        </is>
      </c>
      <c r="C25" s="5" t="inlineStr"/>
      <c r="D25" s="5" t="n">
        <v>7751744</v>
      </c>
      <c r="E25" s="5" t="n">
        <v>6921200</v>
      </c>
      <c r="F25" s="5" t="inlineStr"/>
      <c r="G25" s="5" t="inlineStr"/>
      <c r="H25" s="5">
        <f>HYPERLINK("https://itrix.uz/product/572", "🔗 Mahsulot sotib olish")</f>
        <v/>
      </c>
      <c r="I25" t="inlineStr">
        <is>
          <t>43-572-533</t>
        </is>
      </c>
    </row>
    <row r="26" ht="30" customHeight="1">
      <c r="A26" s="4" t="inlineStr">
        <is>
          <t>Optik bo‘luvchi</t>
        </is>
      </c>
      <c r="B26" s="4" t="inlineStr">
        <is>
          <t>SNR-PLC-1x16-SC/APC optik planarlik bo‘linma</t>
        </is>
      </c>
      <c r="C26" s="5" t="inlineStr"/>
      <c r="D26" s="5" t="n">
        <v>261554</v>
      </c>
      <c r="E26" s="5" t="n">
        <v>233530</v>
      </c>
      <c r="F26" s="5" t="inlineStr"/>
      <c r="G26" s="5" t="inlineStr">
        <is>
          <t>SNR</t>
        </is>
      </c>
      <c r="H26" s="5">
        <f>HYPERLINK("https://itrix.uz/product/771", "🔗 Mahsulot sotib olish")</f>
        <v/>
      </c>
      <c r="I26" t="inlineStr">
        <is>
          <t>43-771-679</t>
        </is>
      </c>
    </row>
    <row r="27" ht="30" customHeight="1">
      <c r="A27" s="4" t="inlineStr">
        <is>
          <t>SFP28 modullar</t>
        </is>
      </c>
      <c r="B27" s="4" t="inlineStr">
        <is>
          <t>B-OptiX SFP28 25GBASE-SR optik moduli, LC ulagichli, 100 m gacha</t>
        </is>
      </c>
      <c r="C27" s="5" t="inlineStr"/>
      <c r="D27" s="5" t="n">
        <v>2493568</v>
      </c>
      <c r="E27" s="5" t="n">
        <v>2226400</v>
      </c>
      <c r="F27" s="5" t="inlineStr"/>
      <c r="G27" s="5" t="inlineStr"/>
      <c r="H27" s="5">
        <f>HYPERLINK("https://itrix.uz/product/573", "🔗 Mahsulot sotib olish")</f>
        <v/>
      </c>
      <c r="I27" t="inlineStr">
        <is>
          <t>43-573-534</t>
        </is>
      </c>
    </row>
    <row r="28" ht="30" customHeight="1">
      <c r="A28" s="4" t="inlineStr">
        <is>
          <t>SFP modullar</t>
        </is>
      </c>
      <c r="B28" s="4" t="inlineStr">
        <is>
          <t>Модуль B-OptiX SFP WDM, дальность до 3км, 1310нм</t>
        </is>
      </c>
      <c r="C28" s="5" t="inlineStr"/>
      <c r="D28" s="5" t="n">
        <v>176176</v>
      </c>
      <c r="E28" s="5" t="n">
        <v>157300</v>
      </c>
      <c r="F28" s="5" t="inlineStr"/>
      <c r="G28" s="5" t="inlineStr"/>
      <c r="H28" s="5">
        <f>HYPERLINK("https://itrix.uz/product/678", "🔗 Mahsulot sotib olish")</f>
        <v/>
      </c>
      <c r="I28" t="inlineStr">
        <is>
          <t>43-678-607</t>
        </is>
      </c>
    </row>
    <row r="29" ht="30" customHeight="1">
      <c r="A29" s="4" t="inlineStr">
        <is>
          <t>Abonent terminal qurilmalari (ONU / ONT)</t>
        </is>
      </c>
      <c r="B29" s="4" t="inlineStr">
        <is>
          <t>ONU XPON abonent terminali, SFP moduliga integratsiyalashgan</t>
        </is>
      </c>
      <c r="C29" s="5" t="inlineStr"/>
      <c r="D29" s="5" t="n">
        <v>912998</v>
      </c>
      <c r="E29" s="5" t="n">
        <v>815177</v>
      </c>
      <c r="F29" s="5" t="inlineStr"/>
      <c r="G29" s="5" t="inlineStr"/>
      <c r="H29" s="5">
        <f>HYPERLINK("https://itrix.uz/product/689", "🔗 Mahsulot sotib olish")</f>
        <v/>
      </c>
      <c r="I29" t="inlineStr">
        <is>
          <t>43-689-633</t>
        </is>
      </c>
    </row>
    <row r="30" ht="30" customHeight="1">
      <c r="A30" s="4" t="inlineStr">
        <is>
          <t>SFP modullar</t>
        </is>
      </c>
      <c r="B30" s="4" t="inlineStr">
        <is>
          <t>SFP WDM moduli, 20 km gacha (12dB), 1550nm, 100Mb</t>
        </is>
      </c>
      <c r="C30" s="5" t="inlineStr"/>
      <c r="D30" s="5" t="n">
        <v>285812</v>
      </c>
      <c r="E30" s="5" t="n">
        <v>255189</v>
      </c>
      <c r="F30" s="5" t="inlineStr"/>
      <c r="G30" s="5" t="inlineStr">
        <is>
          <t>SNR</t>
        </is>
      </c>
      <c r="H30" s="5">
        <f>HYPERLINK("https://itrix.uz/product/789", "🔗 Mahsulot sotib olish")</f>
        <v/>
      </c>
      <c r="I30" t="inlineStr">
        <is>
          <t>43-789-772</t>
        </is>
      </c>
    </row>
    <row r="31" ht="30" customHeight="1">
      <c r="A31" s="4" t="inlineStr">
        <is>
          <t>Abonent terminal qurilmalari (ONU / ONT)</t>
        </is>
      </c>
      <c r="B31" s="4" t="inlineStr">
        <is>
          <t>ONU XPON abonent terminali, 1 ta 10/100/1000Base-T port, mini korpusda</t>
        </is>
      </c>
      <c r="C31" s="5" t="inlineStr"/>
      <c r="D31" s="5" t="n">
        <v>275919</v>
      </c>
      <c r="E31" s="5" t="n">
        <v>246356</v>
      </c>
      <c r="F31" s="5" t="inlineStr"/>
      <c r="G31" s="5" t="inlineStr"/>
      <c r="H31" s="5">
        <f>HYPERLINK("https://itrix.uz/product/690", "🔗 Mahsulot sotib olish")</f>
        <v/>
      </c>
      <c r="I31" t="inlineStr">
        <is>
          <t>43-690-634</t>
        </is>
      </c>
    </row>
    <row r="32" ht="30" customHeight="1">
      <c r="A32" s="4" t="inlineStr">
        <is>
          <t>SFP+ modullar</t>
        </is>
      </c>
      <c r="B32" s="4" t="inlineStr">
        <is>
          <t>SFP+ WDM moduli, 20 km gacha (12dB), 1330nm</t>
        </is>
      </c>
      <c r="C32" s="5" t="inlineStr"/>
      <c r="D32" s="5" t="n">
        <v>941457</v>
      </c>
      <c r="E32" s="5" t="n">
        <v>840587</v>
      </c>
      <c r="F32" s="5" t="inlineStr"/>
      <c r="G32" s="5" t="inlineStr">
        <is>
          <t>SNR</t>
        </is>
      </c>
      <c r="H32" s="5">
        <f>HYPERLINK("https://itrix.uz/product/773", "🔗 Mahsulot sotib olish")</f>
        <v/>
      </c>
      <c r="I32" t="inlineStr">
        <is>
          <t>43-773-681</t>
        </is>
      </c>
    </row>
    <row r="33" ht="30" customHeight="1">
      <c r="A33" s="4" t="inlineStr">
        <is>
          <t>SFP modullar</t>
        </is>
      </c>
      <c r="B33" s="4" t="inlineStr">
        <is>
          <t>SFP WDM GPON moduli, 20 km gacha masofa, Tx/Rx: 1490/1310nm (37dB)</t>
        </is>
      </c>
      <c r="C33" s="5" t="inlineStr"/>
      <c r="D33" s="5" t="n">
        <v>1918150</v>
      </c>
      <c r="E33" s="5" t="n">
        <v>1712634</v>
      </c>
      <c r="F33" s="5" t="inlineStr"/>
      <c r="G33" s="5" t="inlineStr">
        <is>
          <t>SNR</t>
        </is>
      </c>
      <c r="H33" s="5">
        <f>HYPERLINK("https://itrix.uz/product/688", "🔗 Mahsulot sotib olish")</f>
        <v/>
      </c>
      <c r="I33" t="inlineStr">
        <is>
          <t>43-688-632</t>
        </is>
      </c>
    </row>
    <row r="34" ht="30" customHeight="1">
      <c r="A34" s="4" t="inlineStr">
        <is>
          <t>Abonent terminal qurilmalari (ONU / ONT)</t>
        </is>
      </c>
      <c r="B34" s="4" t="inlineStr">
        <is>
          <t>ONU GPON abonent terminali, 1 ta 10/100/1000Base-T port, mini korpusda</t>
        </is>
      </c>
      <c r="C34" s="5" t="inlineStr"/>
      <c r="D34" s="5" t="n">
        <v>365768</v>
      </c>
      <c r="E34" s="5" t="n">
        <v>326579</v>
      </c>
      <c r="F34" s="5" t="inlineStr"/>
      <c r="G34" s="5" t="inlineStr"/>
      <c r="H34" s="5">
        <f>HYPERLINK("https://itrix.uz/product/686", "🔗 Mahsulot sotib olish")</f>
        <v/>
      </c>
      <c r="I34" t="inlineStr">
        <is>
          <t>43-686-630</t>
        </is>
      </c>
    </row>
    <row r="35" ht="30" customHeight="1">
      <c r="A35" s="4" t="inlineStr">
        <is>
          <t>SFP modullar</t>
        </is>
      </c>
      <c r="B35" s="4" t="inlineStr">
        <is>
          <t>SFP WDM moduli, 20 km gacha LC (14dB), 1550nm</t>
        </is>
      </c>
      <c r="C35" s="5" t="inlineStr"/>
      <c r="D35" s="5" t="n">
        <v>368885</v>
      </c>
      <c r="E35" s="5" t="n">
        <v>329362</v>
      </c>
      <c r="F35" s="5" t="inlineStr"/>
      <c r="G35" s="5" t="inlineStr">
        <is>
          <t>SNR</t>
        </is>
      </c>
      <c r="H35" s="5">
        <f>HYPERLINK("https://itrix.uz/product/791", "🔗 Mahsulot sotib olish")</f>
        <v/>
      </c>
      <c r="I35" t="inlineStr">
        <is>
          <t>43-791-694</t>
        </is>
      </c>
    </row>
    <row r="36" ht="30" customHeight="1">
      <c r="A36" s="4" t="inlineStr">
        <is>
          <t>Optik multipleksorlar (CWDM/DWDM uskunalari, passiv komponentlar)</t>
        </is>
      </c>
      <c r="B36" s="4" t="inlineStr">
        <is>
          <t>CWDM multiplexer, bitta tolali 4-kanalli (TRx: 1270, 1290, 1310, 1330, 1530, 1550, 1510, 1570nm)</t>
        </is>
      </c>
      <c r="C36" s="5" t="inlineStr"/>
      <c r="D36" s="5" t="n">
        <v>4851345</v>
      </c>
      <c r="E36" s="5" t="n">
        <v>4331558</v>
      </c>
      <c r="F36" s="5" t="inlineStr"/>
      <c r="G36" s="5" t="inlineStr"/>
      <c r="H36" s="5">
        <f>HYPERLINK("https://itrix.uz/product/747", "🔗 Mahsulot sotib olish")</f>
        <v/>
      </c>
      <c r="I36" t="inlineStr">
        <is>
          <t>43-747-657</t>
        </is>
      </c>
    </row>
    <row r="37" ht="30" customHeight="1">
      <c r="A37" s="4" t="inlineStr">
        <is>
          <t>SFP modullar</t>
        </is>
      </c>
      <c r="B37" s="4" t="inlineStr">
        <is>
          <t>Optik CWDM SFP moduli, 60 km gacha (17dB), 1570nm</t>
        </is>
      </c>
      <c r="C37" s="5" t="inlineStr"/>
      <c r="D37" s="5" t="n">
        <v>1300585</v>
      </c>
      <c r="E37" s="5" t="n">
        <v>1161237</v>
      </c>
      <c r="F37" s="5" t="inlineStr"/>
      <c r="G37" s="5" t="inlineStr">
        <is>
          <t>SNR</t>
        </is>
      </c>
      <c r="H37" s="5">
        <f>HYPERLINK("https://itrix.uz/product/782", "🔗 Mahsulot sotib olish")</f>
        <v/>
      </c>
      <c r="I37" t="inlineStr">
        <is>
          <t>43-782-689</t>
        </is>
      </c>
    </row>
    <row r="38" ht="30" customHeight="1">
      <c r="A38" s="4" t="inlineStr">
        <is>
          <t>Taqsimlash qutilari</t>
        </is>
      </c>
      <c r="B38" s="4" t="inlineStr">
        <is>
          <t>BO-FTTH-FDB-08D optik taqsimlash qutisi</t>
        </is>
      </c>
      <c r="C38" s="5" t="inlineStr"/>
      <c r="D38" s="5" t="n">
        <v>102589</v>
      </c>
      <c r="E38" s="5" t="n">
        <v>91597</v>
      </c>
      <c r="F38" s="5" t="inlineStr"/>
      <c r="G38" s="5" t="inlineStr"/>
      <c r="H38" s="5">
        <f>HYPERLINK("https://itrix.uz/product/680", "🔗 Mahsulot sotib olish")</f>
        <v/>
      </c>
      <c r="I38" t="inlineStr">
        <is>
          <t>43-680-625</t>
        </is>
      </c>
    </row>
    <row r="39" ht="30" customHeight="1">
      <c r="A39" s="4" t="inlineStr">
        <is>
          <t>SFP modullar</t>
        </is>
      </c>
      <c r="B39" s="4" t="inlineStr">
        <is>
          <t>SFP WDM moduli, 20 km gacha (12dB), 1490/1310nm</t>
        </is>
      </c>
      <c r="C39" s="5" t="inlineStr"/>
      <c r="D39" s="5" t="n">
        <v>623663</v>
      </c>
      <c r="E39" s="5" t="n">
        <v>556842</v>
      </c>
      <c r="F39" s="5" t="inlineStr"/>
      <c r="G39" s="5" t="inlineStr">
        <is>
          <t>SNR</t>
        </is>
      </c>
      <c r="H39" s="5">
        <f>HYPERLINK("https://itrix.uz/product/775", "🔗 Mahsulot sotib olish")</f>
        <v/>
      </c>
      <c r="I39" t="inlineStr">
        <is>
          <t>43-775-683</t>
        </is>
      </c>
    </row>
    <row r="40" ht="30" customHeight="1">
      <c r="A40" s="4" t="inlineStr">
        <is>
          <t>SFP modullar</t>
        </is>
      </c>
      <c r="B40" s="4" t="inlineStr">
        <is>
          <t>Optik CWDM SFP moduli, 60 km gacha (17dB), 1510nm</t>
        </is>
      </c>
      <c r="C40" s="5" t="inlineStr"/>
      <c r="D40" s="5" t="n">
        <v>1221577</v>
      </c>
      <c r="E40" s="5" t="n">
        <v>1090694</v>
      </c>
      <c r="F40" s="5" t="inlineStr"/>
      <c r="G40" s="5" t="inlineStr">
        <is>
          <t>SNR</t>
        </is>
      </c>
      <c r="H40" s="5">
        <f>HYPERLINK("https://itrix.uz/product/784", "🔗 Mahsulot sotib olish")</f>
        <v/>
      </c>
      <c r="I40" t="inlineStr">
        <is>
          <t>43-784-691</t>
        </is>
      </c>
    </row>
    <row r="41" ht="30" customHeight="1">
      <c r="A41" s="4" t="inlineStr">
        <is>
          <t>Abonent terminal qurilmalari (ONU / ONT)</t>
        </is>
      </c>
      <c r="B41" s="4" t="inlineStr">
        <is>
          <t>ONU GPON abonent terminali, 4 ta 10/100/1000Base-T port, 2 ta POTS port, WiFi 2.4/5</t>
        </is>
      </c>
      <c r="C41" s="5" t="inlineStr"/>
      <c r="D41" s="5" t="n">
        <v>857571</v>
      </c>
      <c r="E41" s="5" t="n">
        <v>765688</v>
      </c>
      <c r="F41" s="5" t="inlineStr"/>
      <c r="G41" s="5" t="inlineStr"/>
      <c r="H41" s="5">
        <f>HYPERLINK("https://itrix.uz/product/682", "🔗 Mahsulot sotib olish")</f>
        <v/>
      </c>
      <c r="I41" t="inlineStr">
        <is>
          <t>43-682-627</t>
        </is>
      </c>
    </row>
    <row r="42" ht="30" customHeight="1">
      <c r="A42" s="4" t="inlineStr">
        <is>
          <t>SFP modullar</t>
        </is>
      </c>
      <c r="B42" s="4" t="inlineStr">
        <is>
          <t>B-OptiX SFP WDM moduli, 20km gacha masofa (14dB), 1310nm</t>
        </is>
      </c>
      <c r="C42" s="5" t="inlineStr"/>
      <c r="D42" s="5" t="n">
        <v>282424</v>
      </c>
      <c r="E42" s="5" t="n">
        <v>252164</v>
      </c>
      <c r="F42" s="5" t="inlineStr"/>
      <c r="G42" s="5" t="inlineStr"/>
      <c r="H42" s="5">
        <f>HYPERLINK("https://itrix.uz/product/730", "🔗 Mahsulot sotib olish")</f>
        <v/>
      </c>
      <c r="I42" t="inlineStr">
        <is>
          <t>43-730-640</t>
        </is>
      </c>
    </row>
    <row r="43" ht="30" customHeight="1">
      <c r="A43" s="4" t="inlineStr">
        <is>
          <t>SFP modullar</t>
        </is>
      </c>
      <c r="B43" s="4" t="inlineStr">
        <is>
          <t>Модуль B-OptiX SFP WDM, дальность до 3км (6dB), 1550нм</t>
        </is>
      </c>
      <c r="C43" s="5" t="inlineStr"/>
      <c r="D43" s="5" t="n">
        <v>188779</v>
      </c>
      <c r="E43" s="5" t="n">
        <v>168553</v>
      </c>
      <c r="F43" s="5" t="inlineStr"/>
      <c r="G43" s="5" t="inlineStr"/>
      <c r="H43" s="5">
        <f>HYPERLINK("https://itrix.uz/product/677", "🔗 Mahsulot sotib olish")</f>
        <v/>
      </c>
      <c r="I43" t="inlineStr">
        <is>
          <t>43-677-641</t>
        </is>
      </c>
    </row>
    <row r="44" ht="30" customHeight="1">
      <c r="A44" s="4" t="inlineStr">
        <is>
          <t>SFP+ modullar</t>
        </is>
      </c>
      <c r="B44" s="4" t="inlineStr">
        <is>
          <t>SFP+ DWDM optik moduli, 80 km gacha masofa (24dB), 1549.32nm</t>
        </is>
      </c>
      <c r="C44" s="5" t="inlineStr"/>
      <c r="D44" s="5" t="n">
        <v>8257234</v>
      </c>
      <c r="E44" s="5" t="n">
        <v>7372530</v>
      </c>
      <c r="F44" s="5" t="inlineStr"/>
      <c r="G44" s="5" t="inlineStr">
        <is>
          <t>SNR</t>
        </is>
      </c>
      <c r="H44" s="5">
        <f>HYPERLINK("https://itrix.uz/product/765", "🔗 Mahsulot sotib olish")</f>
        <v/>
      </c>
      <c r="I44" t="inlineStr">
        <is>
          <t>43-765-674</t>
        </is>
      </c>
    </row>
    <row r="45" ht="30" customHeight="1">
      <c r="A45" s="4" t="inlineStr">
        <is>
          <t>Optik bo‘luvchi</t>
        </is>
      </c>
      <c r="B45" s="4" t="inlineStr">
        <is>
          <t>PLC-M-1x4 optik bo‘luvchi, korpussiz, SC/APC ulanishlari</t>
        </is>
      </c>
      <c r="C45" s="5" t="inlineStr"/>
      <c r="D45" s="5" t="n">
        <v>88630</v>
      </c>
      <c r="E45" s="5" t="n">
        <v>79134</v>
      </c>
      <c r="F45" s="5" t="inlineStr"/>
      <c r="G45" s="5" t="inlineStr"/>
      <c r="H45" s="5">
        <f>HYPERLINK("https://itrix.uz/product/731", "🔗 Mahsulot sotib olish")</f>
        <v/>
      </c>
      <c r="I45" t="inlineStr">
        <is>
          <t>43-731-642</t>
        </is>
      </c>
    </row>
    <row r="46" ht="30" customHeight="1">
      <c r="A46" s="4" t="inlineStr">
        <is>
          <t>Optik bo‘luvchi</t>
        </is>
      </c>
      <c r="B46" s="4" t="inlineStr">
        <is>
          <t>Alpha Mile 1x16-SC/APC planarly optik bo‘luvchi</t>
        </is>
      </c>
      <c r="C46" s="5" t="inlineStr"/>
      <c r="D46" s="5" t="n">
        <v>221033</v>
      </c>
      <c r="E46" s="5" t="n">
        <v>197351</v>
      </c>
      <c r="F46" s="5" t="inlineStr"/>
      <c r="G46" s="5" t="inlineStr"/>
      <c r="H46" s="5">
        <f>HYPERLINK("https://itrix.uz/product/733", "🔗 Mahsulot sotib olish")</f>
        <v/>
      </c>
      <c r="I46" t="inlineStr">
        <is>
          <t>43-733-644</t>
        </is>
      </c>
    </row>
    <row r="47" ht="30" customHeight="1">
      <c r="A47" s="4" t="inlineStr">
        <is>
          <t>Taqsimlash qutilari</t>
        </is>
      </c>
      <c r="B47" s="4" t="inlineStr">
        <is>
          <t>SNR-FTTH-FDB-16A optik taqsimot qutisi</t>
        </is>
      </c>
      <c r="C47" s="5" t="inlineStr"/>
      <c r="D47" s="5" t="n">
        <v>394905</v>
      </c>
      <c r="E47" s="5" t="n">
        <v>352594</v>
      </c>
      <c r="F47" s="5" t="inlineStr"/>
      <c r="G47" s="5" t="inlineStr">
        <is>
          <t>SNR</t>
        </is>
      </c>
      <c r="H47" s="5">
        <f>HYPERLINK("https://itrix.uz/product/732", "🔗 Mahsulot sotib olish")</f>
        <v/>
      </c>
      <c r="I47" t="inlineStr">
        <is>
          <t>43-732-643</t>
        </is>
      </c>
    </row>
    <row r="48" ht="30" customHeight="1">
      <c r="A48" s="4" t="inlineStr">
        <is>
          <t>SFP+ modullar</t>
        </is>
      </c>
      <c r="B48" s="4" t="inlineStr">
        <is>
          <t>SFP+ optik moduli, 20 km gacha masofa (11dB), 1310nm</t>
        </is>
      </c>
      <c r="C48" s="5" t="inlineStr"/>
      <c r="D48" s="5" t="n">
        <v>620140</v>
      </c>
      <c r="E48" s="5" t="n">
        <v>553696</v>
      </c>
      <c r="F48" s="5" t="inlineStr"/>
      <c r="G48" s="5" t="inlineStr">
        <is>
          <t>SNR</t>
        </is>
      </c>
      <c r="H48" s="5">
        <f>HYPERLINK("https://itrix.uz/product/817", "🔗 Mahsulot sotib olish")</f>
        <v/>
      </c>
      <c r="I48" t="inlineStr">
        <is>
          <t>43-817-720</t>
        </is>
      </c>
    </row>
    <row r="49" ht="30" customHeight="1">
      <c r="A49" s="4" t="inlineStr">
        <is>
          <t>SFP modullar</t>
        </is>
      </c>
      <c r="B49" s="4" t="inlineStr">
        <is>
          <t>SFP optik moduli, 20 km gacha masofa (14dB), 1310nm, sanoat versiyasi</t>
        </is>
      </c>
      <c r="C49" s="5" t="inlineStr"/>
      <c r="D49" s="5" t="n">
        <v>483671</v>
      </c>
      <c r="E49" s="5" t="n">
        <v>431849</v>
      </c>
      <c r="F49" s="5" t="inlineStr"/>
      <c r="G49" s="5" t="inlineStr">
        <is>
          <t>SNR</t>
        </is>
      </c>
      <c r="H49" s="5">
        <f>HYPERLINK("https://itrix.uz/product/743", "🔗 Mahsulot sotib olish")</f>
        <v/>
      </c>
      <c r="I49" t="inlineStr">
        <is>
          <t>43-743-653</t>
        </is>
      </c>
    </row>
    <row r="50" ht="30" customHeight="1">
      <c r="A50" s="4" t="inlineStr">
        <is>
          <t>SFP modullar</t>
        </is>
      </c>
      <c r="B50" s="4" t="inlineStr">
        <is>
          <t>B-OptiX SFP WDM moduli, 20km gacha masofa (14dB), 1550nm</t>
        </is>
      </c>
      <c r="C50" s="5" t="inlineStr"/>
      <c r="D50" s="5" t="n">
        <v>249492</v>
      </c>
      <c r="E50" s="5" t="n">
        <v>222761</v>
      </c>
      <c r="F50" s="5" t="inlineStr"/>
      <c r="G50" s="5" t="inlineStr"/>
      <c r="H50" s="5">
        <f>HYPERLINK("https://itrix.uz/product/729", "🔗 Mahsulot sotib olish")</f>
        <v/>
      </c>
      <c r="I50" t="inlineStr">
        <is>
          <t>43-729-638</t>
        </is>
      </c>
    </row>
    <row r="51" ht="30" customHeight="1">
      <c r="A51" s="4" t="inlineStr">
        <is>
          <t>SFP modullar</t>
        </is>
      </c>
      <c r="B51" s="4" t="inlineStr">
        <is>
          <t>SFP WDM moduli, 3 km gacha masofa (6dB), 1550nm, sanoat versiyasi</t>
        </is>
      </c>
      <c r="C51" s="5" t="inlineStr"/>
      <c r="D51" s="5" t="n">
        <v>198130</v>
      </c>
      <c r="E51" s="5" t="n">
        <v>176902</v>
      </c>
      <c r="F51" s="5" t="inlineStr"/>
      <c r="G51" s="5" t="inlineStr">
        <is>
          <t>SNR</t>
        </is>
      </c>
      <c r="H51" s="5">
        <f>HYPERLINK("https://itrix.uz/product/741", "🔗 Mahsulot sotib olish")</f>
        <v/>
      </c>
      <c r="I51" t="inlineStr">
        <is>
          <t>43-741-651</t>
        </is>
      </c>
    </row>
    <row r="52" ht="30" customHeight="1">
      <c r="A52" s="4" t="inlineStr">
        <is>
          <t>SFP modullar</t>
        </is>
      </c>
      <c r="B52" s="4" t="inlineStr">
        <is>
          <t>SFP optik moduli, 20 km gacha masofa (14dB), 1310nm, sanoat versiyasi</t>
        </is>
      </c>
      <c r="C52" s="5" t="inlineStr"/>
      <c r="D52" s="5" t="n">
        <v>483671</v>
      </c>
      <c r="E52" s="5" t="n">
        <v>431849</v>
      </c>
      <c r="F52" s="5" t="inlineStr"/>
      <c r="G52" s="5" t="inlineStr">
        <is>
          <t>SNR</t>
        </is>
      </c>
      <c r="H52" s="5">
        <f>HYPERLINK("https://itrix.uz/product/742", "🔗 Mahsulot sotib olish")</f>
        <v/>
      </c>
      <c r="I52" t="inlineStr">
        <is>
          <t>43-742-652</t>
        </is>
      </c>
    </row>
    <row r="53" ht="30" customHeight="1">
      <c r="A53" s="4" t="inlineStr">
        <is>
          <t>Abonent terminal qurilmalari (ONU / ONT)</t>
        </is>
      </c>
      <c r="B53" s="4" t="inlineStr">
        <is>
          <t>GEPON ONU abonent terminali, 1 port 10/100/1000Base-T, mini korpusda, BDCOM bilan mos</t>
        </is>
      </c>
      <c r="C53" s="5" t="inlineStr"/>
      <c r="D53" s="5" t="n">
        <v>184172</v>
      </c>
      <c r="E53" s="5" t="n">
        <v>164439</v>
      </c>
      <c r="F53" s="5" t="inlineStr"/>
      <c r="G53" s="5" t="inlineStr">
        <is>
          <t>SNR</t>
        </is>
      </c>
      <c r="H53" s="5">
        <f>HYPERLINK("https://itrix.uz/product/734", "🔗 Mahsulot sotib olish")</f>
        <v/>
      </c>
      <c r="I53" t="inlineStr">
        <is>
          <t>43-734-645</t>
        </is>
      </c>
    </row>
    <row r="54" ht="30" customHeight="1">
      <c r="A54" s="4" t="inlineStr">
        <is>
          <t>Taqsimlash qutilari</t>
        </is>
      </c>
      <c r="B54" s="4" t="inlineStr">
        <is>
          <t>Optik rozetka SNR-FTB-02F</t>
        </is>
      </c>
      <c r="C54" s="5" t="inlineStr"/>
      <c r="D54" s="5" t="n">
        <v>15314</v>
      </c>
      <c r="E54" s="5" t="n">
        <v>13673</v>
      </c>
      <c r="F54" s="5" t="inlineStr"/>
      <c r="G54" s="5" t="inlineStr">
        <is>
          <t>SNR</t>
        </is>
      </c>
      <c r="H54" s="5">
        <f>HYPERLINK("https://itrix.uz/product/746", "🔗 Mahsulot sotib olish")</f>
        <v/>
      </c>
      <c r="I54" t="inlineStr">
        <is>
          <t>43-746-656</t>
        </is>
      </c>
    </row>
    <row r="55" ht="30" customHeight="1">
      <c r="A55" s="4" t="inlineStr">
        <is>
          <t>SFP modullar</t>
        </is>
      </c>
      <c r="B55" s="4" t="inlineStr">
        <is>
          <t>SFP optik moduli, 2 km gacha masofa (12dB), 1310nm</t>
        </is>
      </c>
      <c r="C55" s="5" t="inlineStr"/>
      <c r="D55" s="5" t="n">
        <v>418215</v>
      </c>
      <c r="E55" s="5" t="n">
        <v>373406</v>
      </c>
      <c r="F55" s="5" t="inlineStr"/>
      <c r="G55" s="5" t="inlineStr">
        <is>
          <t>SNR</t>
        </is>
      </c>
      <c r="H55" s="5">
        <f>HYPERLINK("https://itrix.uz/product/748", "🔗 Mahsulot sotib olish")</f>
        <v/>
      </c>
      <c r="I55" t="inlineStr">
        <is>
          <t>43-748-658</t>
        </is>
      </c>
    </row>
    <row r="56" ht="30" customHeight="1">
      <c r="A56" s="4" t="inlineStr">
        <is>
          <t>QSFP+ modullar</t>
        </is>
      </c>
      <c r="B56" s="4" t="inlineStr">
        <is>
          <t>Ikki tolali modul, QSFP+ 40GBASE-LR4, LC rozemi, 10km gacha masofa</t>
        </is>
      </c>
      <c r="C56" s="5" t="inlineStr"/>
      <c r="D56" s="5" t="n">
        <v>5772474</v>
      </c>
      <c r="E56" s="5" t="n">
        <v>5153995</v>
      </c>
      <c r="F56" s="5" t="inlineStr"/>
      <c r="G56" s="5" t="inlineStr">
        <is>
          <t>SNR</t>
        </is>
      </c>
      <c r="H56" s="5">
        <f>HYPERLINK("https://itrix.uz/product/750", "🔗 Mahsulot sotib olish")</f>
        <v/>
      </c>
      <c r="I56" t="inlineStr">
        <is>
          <t>43-750-660</t>
        </is>
      </c>
    </row>
    <row r="57" ht="30" customHeight="1">
      <c r="A57" s="4" t="inlineStr">
        <is>
          <t>Optik multipleksorlar (CWDM/DWDM uskunalari, passiv komponentlar)</t>
        </is>
      </c>
      <c r="B57" s="4" t="inlineStr">
        <is>
          <t>DWDM multiplexer, bitta tolali 8-kanalli, 1/2-slotda</t>
        </is>
      </c>
      <c r="C57" s="5" t="inlineStr"/>
      <c r="D57" s="5" t="n">
        <v>13718554</v>
      </c>
      <c r="E57" s="5" t="n">
        <v>12248709</v>
      </c>
      <c r="F57" s="5" t="inlineStr"/>
      <c r="G57" s="5" t="inlineStr"/>
      <c r="H57" s="5">
        <f>HYPERLINK("https://itrix.uz/product/751", "🔗 Mahsulot sotib olish")</f>
        <v/>
      </c>
      <c r="I57" t="inlineStr">
        <is>
          <t>43-751-661</t>
        </is>
      </c>
    </row>
    <row r="58" ht="30" customHeight="1">
      <c r="A58" s="4" t="inlineStr">
        <is>
          <t>SFP+ modullar</t>
        </is>
      </c>
      <c r="B58" s="4" t="inlineStr">
        <is>
          <t>B-OptiX SFP+ optik moduli, 300 metr gacha masofa, 850nm</t>
        </is>
      </c>
      <c r="C58" s="5" t="inlineStr"/>
      <c r="D58" s="5" t="n">
        <v>314813</v>
      </c>
      <c r="E58" s="5" t="n">
        <v>281083</v>
      </c>
      <c r="F58" s="5" t="inlineStr"/>
      <c r="G58" s="5" t="inlineStr"/>
      <c r="H58" s="5">
        <f>HYPERLINK("https://itrix.uz/product/695", "🔗 Mahsulot sotib olish")</f>
        <v/>
      </c>
      <c r="I58" t="inlineStr">
        <is>
          <t>43-695-635</t>
        </is>
      </c>
    </row>
    <row r="59" ht="30" customHeight="1">
      <c r="A59" s="4" t="inlineStr">
        <is>
          <t>SFP modullar</t>
        </is>
      </c>
      <c r="B59" s="4" t="inlineStr">
        <is>
          <t>SFP WDM GPON moduli, 20 km gacha masofa (35dB), Tx/Rx: 1490/1310nm</t>
        </is>
      </c>
      <c r="C59" s="5" t="inlineStr"/>
      <c r="D59" s="5" t="n">
        <v>1727202</v>
      </c>
      <c r="E59" s="5" t="n">
        <v>1542145</v>
      </c>
      <c r="F59" s="5" t="inlineStr"/>
      <c r="G59" s="5" t="inlineStr">
        <is>
          <t>SNR</t>
        </is>
      </c>
      <c r="H59" s="5">
        <f>HYPERLINK("https://itrix.uz/product/752", "🔗 Mahsulot sotib olish")</f>
        <v/>
      </c>
      <c r="I59" t="inlineStr">
        <is>
          <t>43-752-662</t>
        </is>
      </c>
    </row>
    <row r="60" ht="30" customHeight="1">
      <c r="A60" s="4" t="inlineStr">
        <is>
          <t>Modul adapterlari va konverterlari</t>
        </is>
      </c>
      <c r="B60" s="4" t="inlineStr">
        <is>
          <t>Xenpak'dan SFP+ ga interfeys konvertori</t>
        </is>
      </c>
      <c r="C60" s="5" t="inlineStr"/>
      <c r="D60" s="5" t="n">
        <v>3040527</v>
      </c>
      <c r="E60" s="5" t="n">
        <v>2714756</v>
      </c>
      <c r="F60" s="5" t="inlineStr"/>
      <c r="G60" s="5" t="inlineStr"/>
      <c r="H60" s="5">
        <f>HYPERLINK("https://itrix.uz/product/756", "🔗 Mahsulot sotib olish")</f>
        <v/>
      </c>
      <c r="I60" t="inlineStr">
        <is>
          <t>43-756-665</t>
        </is>
      </c>
    </row>
    <row r="61" ht="30" customHeight="1">
      <c r="A61" s="4" t="inlineStr">
        <is>
          <t>SFP modullar</t>
        </is>
      </c>
      <c r="B61" s="4" t="inlineStr">
        <is>
          <t>SFP WDM moduli, 3 km gacha LC (6dB), 1310nm</t>
        </is>
      </c>
      <c r="C61" s="5" t="inlineStr"/>
      <c r="D61" s="5" t="n">
        <v>335548</v>
      </c>
      <c r="E61" s="5" t="n">
        <v>299596</v>
      </c>
      <c r="F61" s="5" t="inlineStr"/>
      <c r="G61" s="5" t="inlineStr">
        <is>
          <t>SNR</t>
        </is>
      </c>
      <c r="H61" s="5">
        <f>HYPERLINK("https://itrix.uz/product/768", "🔗 Mahsulot sotib olish")</f>
        <v/>
      </c>
      <c r="I61" t="inlineStr">
        <is>
          <t>43-768-677</t>
        </is>
      </c>
    </row>
    <row r="62" ht="30" customHeight="1">
      <c r="A62" s="4" t="inlineStr">
        <is>
          <t>SFP modullar</t>
        </is>
      </c>
      <c r="B62" s="4" t="inlineStr">
        <is>
          <t>Optik CWDM SFP moduli, 60 km gacha (17dB), 1470nm</t>
        </is>
      </c>
      <c r="C62" s="5" t="inlineStr"/>
      <c r="D62" s="5" t="n">
        <v>1255864</v>
      </c>
      <c r="E62" s="5" t="n">
        <v>1121307</v>
      </c>
      <c r="F62" s="5" t="inlineStr"/>
      <c r="G62" s="5" t="inlineStr">
        <is>
          <t>SNR</t>
        </is>
      </c>
      <c r="H62" s="5">
        <f>HYPERLINK("https://itrix.uz/product/786", "🔗 Mahsulot sotib olish")</f>
        <v/>
      </c>
      <c r="I62" t="inlineStr">
        <is>
          <t>43-786-692</t>
        </is>
      </c>
    </row>
    <row r="63" ht="30" customHeight="1">
      <c r="A63" s="4" t="inlineStr">
        <is>
          <t>Taqsimlash qutilari</t>
        </is>
      </c>
      <c r="B63" s="4" t="inlineStr">
        <is>
          <t>Optik rozetka SNR-FTB-02S</t>
        </is>
      </c>
      <c r="C63" s="5" t="inlineStr"/>
      <c r="D63" s="5" t="n">
        <v>8131</v>
      </c>
      <c r="E63" s="5" t="n">
        <v>7260</v>
      </c>
      <c r="F63" s="5" t="inlineStr"/>
      <c r="G63" s="5" t="inlineStr">
        <is>
          <t>SNR</t>
        </is>
      </c>
      <c r="H63" s="5">
        <f>HYPERLINK("https://itrix.uz/product/769", "🔗 Mahsulot sotib olish")</f>
        <v/>
      </c>
      <c r="I63" t="inlineStr">
        <is>
          <t>43-769-678</t>
        </is>
      </c>
    </row>
    <row r="64" ht="30" customHeight="1">
      <c r="A64" s="4" t="inlineStr">
        <is>
          <t>SFP modullar</t>
        </is>
      </c>
      <c r="B64" s="4" t="inlineStr">
        <is>
          <t>SFP WDM moduli, 80 km gacha (24dB), 1550/1490nm</t>
        </is>
      </c>
      <c r="C64" s="5" t="inlineStr"/>
      <c r="D64" s="5" t="n">
        <v>1199623</v>
      </c>
      <c r="E64" s="5" t="n">
        <v>1071092</v>
      </c>
      <c r="F64" s="5" t="inlineStr"/>
      <c r="G64" s="5" t="inlineStr">
        <is>
          <t>SNR</t>
        </is>
      </c>
      <c r="H64" s="5">
        <f>HYPERLINK("https://itrix.uz/product/777", "🔗 Mahsulot sotib olish")</f>
        <v/>
      </c>
      <c r="I64" t="inlineStr">
        <is>
          <t>43-777-684</t>
        </is>
      </c>
    </row>
    <row r="65" ht="30" customHeight="1">
      <c r="A65" s="4" t="inlineStr">
        <is>
          <t>SFP modullar</t>
        </is>
      </c>
      <c r="B65" s="4" t="inlineStr">
        <is>
          <t>SFP WDM moduli, 80 km gacha (24dB), 1490/1550nm</t>
        </is>
      </c>
      <c r="C65" s="5" t="inlineStr"/>
      <c r="D65" s="5" t="n">
        <v>1290150</v>
      </c>
      <c r="E65" s="5" t="n">
        <v>1151920</v>
      </c>
      <c r="F65" s="5" t="inlineStr"/>
      <c r="G65" s="5" t="inlineStr">
        <is>
          <t>SNR</t>
        </is>
      </c>
      <c r="H65" s="5">
        <f>HYPERLINK("https://itrix.uz/product/778", "🔗 Mahsulot sotib olish")</f>
        <v/>
      </c>
      <c r="I65" t="inlineStr">
        <is>
          <t>43-778-685</t>
        </is>
      </c>
    </row>
    <row r="66" ht="30" customHeight="1">
      <c r="A66" s="4" t="inlineStr">
        <is>
          <t>SFP modullar</t>
        </is>
      </c>
      <c r="B66" s="4" t="inlineStr">
        <is>
          <t>Optik CWDM SFP moduli, 60 km gacha (17dB), 1530nm</t>
        </is>
      </c>
      <c r="C66" s="5" t="inlineStr"/>
      <c r="D66" s="5" t="n">
        <v>1255864</v>
      </c>
      <c r="E66" s="5" t="n">
        <v>1121307</v>
      </c>
      <c r="F66" s="5" t="inlineStr"/>
      <c r="G66" s="5" t="inlineStr">
        <is>
          <t>SNR</t>
        </is>
      </c>
      <c r="H66" s="5">
        <f>HYPERLINK("https://itrix.uz/product/783", "🔗 Mahsulot sotib olish")</f>
        <v/>
      </c>
      <c r="I66" t="inlineStr">
        <is>
          <t>43-783-690</t>
        </is>
      </c>
    </row>
    <row r="67" ht="30" customHeight="1">
      <c r="A67" s="4" t="inlineStr">
        <is>
          <t>SFP modullar</t>
        </is>
      </c>
      <c r="B67" s="4" t="inlineStr">
        <is>
          <t>SFP WDM moduli, 20 km gacha LC (14dB), 1310nm</t>
        </is>
      </c>
      <c r="C67" s="5" t="inlineStr"/>
      <c r="D67" s="5" t="n">
        <v>298686</v>
      </c>
      <c r="E67" s="5" t="n">
        <v>266684</v>
      </c>
      <c r="F67" s="5" t="inlineStr"/>
      <c r="G67" s="5" t="inlineStr">
        <is>
          <t>SNR</t>
        </is>
      </c>
      <c r="H67" s="5">
        <f>HYPERLINK("https://itrix.uz/product/792", "🔗 Mahsulot sotib olish")</f>
        <v/>
      </c>
      <c r="I67" t="inlineStr">
        <is>
          <t>43-792-695</t>
        </is>
      </c>
    </row>
    <row r="68" ht="30" customHeight="1">
      <c r="A68" s="4" t="inlineStr">
        <is>
          <t>SFP modullar</t>
        </is>
      </c>
      <c r="B68" s="4" t="inlineStr">
        <is>
          <t>Optik SFP moduli, 40 km gacha (16dB), 1550nm</t>
        </is>
      </c>
      <c r="C68" s="5" t="inlineStr"/>
      <c r="D68" s="5" t="n">
        <v>959753</v>
      </c>
      <c r="E68" s="5" t="n">
        <v>856922</v>
      </c>
      <c r="F68" s="5" t="inlineStr"/>
      <c r="G68" s="5" t="inlineStr">
        <is>
          <t>SNR</t>
        </is>
      </c>
      <c r="H68" s="5">
        <f>HYPERLINK("https://itrix.uz/product/793", "🔗 Mahsulot sotib olish")</f>
        <v/>
      </c>
      <c r="I68" t="inlineStr">
        <is>
          <t>43-793-696</t>
        </is>
      </c>
    </row>
    <row r="69" ht="30" customHeight="1">
      <c r="A69" s="4" t="inlineStr">
        <is>
          <t>SFP modullar</t>
        </is>
      </c>
      <c r="B69" s="4" t="inlineStr">
        <is>
          <t>Optik SFP moduli, 550m gacha (7.5dB), 850nm</t>
        </is>
      </c>
      <c r="C69" s="5" t="inlineStr"/>
      <c r="D69" s="5" t="n">
        <v>363871</v>
      </c>
      <c r="E69" s="5" t="n">
        <v>324885</v>
      </c>
      <c r="F69" s="5" t="inlineStr"/>
      <c r="G69" s="5" t="inlineStr">
        <is>
          <t>SNR</t>
        </is>
      </c>
      <c r="H69" s="5">
        <f>HYPERLINK("https://itrix.uz/product/794", "🔗 Mahsulot sotib olish")</f>
        <v/>
      </c>
      <c r="I69" t="inlineStr">
        <is>
          <t>43-794-697</t>
        </is>
      </c>
    </row>
    <row r="70" ht="30" customHeight="1">
      <c r="A70" s="4" t="inlineStr">
        <is>
          <t>SFP modullar</t>
        </is>
      </c>
      <c r="B70" s="4" t="inlineStr">
        <is>
          <t>RJ45 interfeysi bilan SFP moduli, 100m gacha</t>
        </is>
      </c>
      <c r="C70" s="5" t="inlineStr"/>
      <c r="D70" s="5" t="n">
        <v>353301</v>
      </c>
      <c r="E70" s="5" t="n">
        <v>315447</v>
      </c>
      <c r="F70" s="5" t="inlineStr"/>
      <c r="G70" s="5" t="inlineStr">
        <is>
          <t>SNR</t>
        </is>
      </c>
      <c r="H70" s="5">
        <f>HYPERLINK("https://itrix.uz/product/795", "🔗 Mahsulot sotib olish")</f>
        <v/>
      </c>
      <c r="I70" t="inlineStr">
        <is>
          <t>43-795-698</t>
        </is>
      </c>
    </row>
    <row r="71" ht="30" customHeight="1">
      <c r="A71" s="4" t="inlineStr">
        <is>
          <t>SFP modullar</t>
        </is>
      </c>
      <c r="B71" s="4" t="inlineStr">
        <is>
          <t>SFP WDM moduli, 20km gacha (14dB), 1550nm</t>
        </is>
      </c>
      <c r="C71" s="5" t="inlineStr"/>
      <c r="D71" s="5" t="n">
        <v>328500</v>
      </c>
      <c r="E71" s="5" t="n">
        <v>293304</v>
      </c>
      <c r="F71" s="5" t="inlineStr"/>
      <c r="G71" s="5" t="inlineStr">
        <is>
          <t>SNR</t>
        </is>
      </c>
      <c r="H71" s="5">
        <f>HYPERLINK("https://itrix.uz/product/798", "🔗 Mahsulot sotib olish")</f>
        <v/>
      </c>
      <c r="I71" t="inlineStr">
        <is>
          <t>43-798-701</t>
        </is>
      </c>
    </row>
    <row r="72" ht="30" customHeight="1">
      <c r="A72" s="4" t="inlineStr">
        <is>
          <t>SFP modullar</t>
        </is>
      </c>
      <c r="B72" s="4" t="inlineStr">
        <is>
          <t>SFP WDM moduli, 40km gacha (21dB), 1550nm</t>
        </is>
      </c>
      <c r="C72" s="5" t="inlineStr"/>
      <c r="D72" s="5" t="n">
        <v>911779</v>
      </c>
      <c r="E72" s="5" t="n">
        <v>814088</v>
      </c>
      <c r="F72" s="5" t="inlineStr"/>
      <c r="G72" s="5" t="inlineStr">
        <is>
          <t>SNR</t>
        </is>
      </c>
      <c r="H72" s="5">
        <f>HYPERLINK("https://itrix.uz/product/796", "🔗 Mahsulot sotib olish")</f>
        <v/>
      </c>
      <c r="I72" t="inlineStr">
        <is>
          <t>43-796-699</t>
        </is>
      </c>
    </row>
    <row r="73" ht="30" customHeight="1">
      <c r="A73" s="4" t="inlineStr">
        <is>
          <t>SFP modullar</t>
        </is>
      </c>
      <c r="B73" s="4" t="inlineStr">
        <is>
          <t>SFP WDM moduli, 40km gacha (21dB), 1310nm</t>
        </is>
      </c>
      <c r="C73" s="5" t="inlineStr"/>
      <c r="D73" s="5" t="n">
        <v>623663</v>
      </c>
      <c r="E73" s="5" t="n">
        <v>556842</v>
      </c>
      <c r="F73" s="5" t="inlineStr"/>
      <c r="G73" s="5" t="inlineStr">
        <is>
          <t>SNR</t>
        </is>
      </c>
      <c r="H73" s="5">
        <f>HYPERLINK("https://itrix.uz/product/797", "🔗 Mahsulot sotib olish")</f>
        <v/>
      </c>
      <c r="I73" t="inlineStr">
        <is>
          <t>43-797-700</t>
        </is>
      </c>
    </row>
    <row r="74" ht="30" customHeight="1">
      <c r="A74" s="4" t="inlineStr">
        <is>
          <t>SFP modullar</t>
        </is>
      </c>
      <c r="B74" s="4" t="inlineStr">
        <is>
          <t>SFP optik moduli, 20km gacha (14dB), 1310nm</t>
        </is>
      </c>
      <c r="C74" s="5" t="inlineStr"/>
      <c r="D74" s="5" t="n">
        <v>307630</v>
      </c>
      <c r="E74" s="5" t="n">
        <v>274670</v>
      </c>
      <c r="F74" s="5" t="inlineStr"/>
      <c r="G74" s="5" t="inlineStr">
        <is>
          <t>SNR</t>
        </is>
      </c>
      <c r="H74" s="5">
        <f>HYPERLINK("https://itrix.uz/product/799", "🔗 Mahsulot sotib olish")</f>
        <v/>
      </c>
      <c r="I74" t="inlineStr">
        <is>
          <t>43-799-702</t>
        </is>
      </c>
    </row>
    <row r="75">
      <c r="A75" s="4" t="inlineStr">
        <is>
          <t>Abonent terminal qurilmalari (ONU / ONT)</t>
        </is>
      </c>
      <c r="B75" s="4" t="inlineStr">
        <is>
          <t>Abonent terminali ONU BDCOM XPON, 1 port XPON (SC/UPC), 1 GE, plastik korpus, DC12V/0.5A, tashqi adaptör</t>
        </is>
      </c>
      <c r="C75" s="5" t="inlineStr"/>
      <c r="D75" s="5" t="n">
        <v>140670</v>
      </c>
      <c r="E75" s="5" t="n">
        <v>125598</v>
      </c>
      <c r="F75" s="5" t="inlineStr"/>
      <c r="G75" s="5" t="inlineStr"/>
      <c r="H75" s="5">
        <f>HYPERLINK("https://itrix.uz/product/801", "🔗 Mahsulot sotib olish")</f>
        <v/>
      </c>
      <c r="I75" t="inlineStr">
        <is>
          <t>43-801-704</t>
        </is>
      </c>
    </row>
    <row r="76">
      <c r="A76" s="4" t="inlineStr">
        <is>
          <t>OLT uskunalari</t>
        </is>
      </c>
      <c r="B76" s="4" t="inlineStr">
        <is>
          <t>OLT BDCOM 3310, 4 ta GEPON porti (SFP), 2 ta combo porti, 2xSFP, 2xRJ-45, 2 ta AC quvvat manbai, FEC</t>
        </is>
      </c>
      <c r="C76" s="5" t="inlineStr"/>
      <c r="D76" s="5" t="n">
        <v>6701871</v>
      </c>
      <c r="E76" s="5" t="n">
        <v>5983813</v>
      </c>
      <c r="F76" s="5" t="inlineStr"/>
      <c r="G76" s="5" t="inlineStr"/>
      <c r="H76" s="5">
        <f>HYPERLINK("https://itrix.uz/product/804", "🔗 Mahsulot sotib olish")</f>
        <v/>
      </c>
      <c r="I76" t="inlineStr">
        <is>
          <t>43-804-707</t>
        </is>
      </c>
    </row>
    <row r="77" ht="30" customHeight="1">
      <c r="A77" s="4" t="inlineStr">
        <is>
          <t>OLT uskunalari</t>
        </is>
      </c>
      <c r="B77" s="4" t="inlineStr">
        <is>
          <t>OLT BDCOM GP3600-08B, 8 ta GPON porti (SFP), 4 ta combo porti, 4xSFP, 4 SFP+, 2 ta AC quvvat manbai</t>
        </is>
      </c>
      <c r="C77" s="5" t="inlineStr"/>
      <c r="D77" s="5" t="n">
        <v>22808152</v>
      </c>
      <c r="E77" s="5" t="n">
        <v>20364421</v>
      </c>
      <c r="F77" s="5" t="inlineStr"/>
      <c r="G77" s="5" t="inlineStr"/>
      <c r="H77" s="5">
        <f>HYPERLINK("https://itrix.uz/product/805", "🔗 Mahsulot sotib olish")</f>
        <v/>
      </c>
      <c r="I77" t="inlineStr">
        <is>
          <t>43-805-708</t>
        </is>
      </c>
    </row>
    <row r="78">
      <c r="A78" s="4" t="inlineStr">
        <is>
          <t>OLT uskunalari</t>
        </is>
      </c>
      <c r="B78" s="4" t="inlineStr">
        <is>
          <t>OLT BDCOM GP3600-16B, 16 ta GPON porti (SFP), 4 ta combo porti, 4xSFP, 4 SFP+, 2 ta AC quvvat manbai</t>
        </is>
      </c>
      <c r="C78" s="5" t="inlineStr"/>
      <c r="D78" s="5" t="n">
        <v>33691492</v>
      </c>
      <c r="E78" s="5" t="n">
        <v>30081689</v>
      </c>
      <c r="F78" s="5" t="inlineStr"/>
      <c r="G78" s="5" t="inlineStr"/>
      <c r="H78" s="5">
        <f>HYPERLINK("https://itrix.uz/product/806", "🔗 Mahsulot sotib olish")</f>
        <v/>
      </c>
      <c r="I78" t="inlineStr">
        <is>
          <t>43-806-709</t>
        </is>
      </c>
    </row>
    <row r="79">
      <c r="A79" s="4" t="inlineStr">
        <is>
          <t>OLT uskunalari</t>
        </is>
      </c>
      <c r="B79" s="4" t="inlineStr">
        <is>
          <t>Stansion terminali OLT, 8 ta GPON porti (SFP) va 4 ta 10G/SFP+, 4 ta 10/100/1000-Base-T/SFP portlari bilan</t>
        </is>
      </c>
      <c r="C79" s="5" t="inlineStr"/>
      <c r="D79" s="5" t="n">
        <v>41325333</v>
      </c>
      <c r="E79" s="5" t="n">
        <v>36897619</v>
      </c>
      <c r="F79" s="5" t="inlineStr"/>
      <c r="G79" s="5" t="inlineStr"/>
      <c r="H79" s="5">
        <f>HYPERLINK("https://itrix.uz/product/807", "🔗 Mahsulot sotib olish")</f>
        <v/>
      </c>
      <c r="I79" t="inlineStr">
        <is>
          <t>43-807-710</t>
        </is>
      </c>
    </row>
    <row r="80" ht="30" customHeight="1">
      <c r="A80" s="4" t="inlineStr">
        <is>
          <t>SFP+ modullar</t>
        </is>
      </c>
      <c r="B80" s="4" t="inlineStr">
        <is>
          <t>SFP+ WDM moduli, 3 km gacha masofa (5dB), 1330nm</t>
        </is>
      </c>
      <c r="C80" s="5" t="inlineStr"/>
      <c r="D80" s="5" t="n">
        <v>815830</v>
      </c>
      <c r="E80" s="5" t="n">
        <v>728420</v>
      </c>
      <c r="F80" s="5" t="inlineStr"/>
      <c r="G80" s="5" t="inlineStr">
        <is>
          <t>SNR</t>
        </is>
      </c>
      <c r="H80" s="5">
        <f>HYPERLINK("https://itrix.uz/product/736", "🔗 Mahsulot sotib olish")</f>
        <v/>
      </c>
      <c r="I80" t="inlineStr">
        <is>
          <t>43-736-647</t>
        </is>
      </c>
    </row>
    <row r="81" ht="30" customHeight="1">
      <c r="A81" s="4" t="inlineStr">
        <is>
          <t>SFP+ modullar</t>
        </is>
      </c>
      <c r="B81" s="4" t="inlineStr">
        <is>
          <t>SFP+ WDM moduli, 20 km gacha (12dB), 1270nm</t>
        </is>
      </c>
      <c r="C81" s="5" t="inlineStr"/>
      <c r="D81" s="5" t="n">
        <v>941593</v>
      </c>
      <c r="E81" s="5" t="n">
        <v>840708</v>
      </c>
      <c r="F81" s="5" t="inlineStr"/>
      <c r="G81" s="5" t="inlineStr">
        <is>
          <t>SNR</t>
        </is>
      </c>
      <c r="H81" s="5">
        <f>HYPERLINK("https://itrix.uz/product/772", "🔗 Mahsulot sotib olish")</f>
        <v/>
      </c>
      <c r="I81" t="inlineStr">
        <is>
          <t>43-772-680</t>
        </is>
      </c>
    </row>
    <row r="82" ht="30" customHeight="1">
      <c r="A82" s="4" t="inlineStr">
        <is>
          <t>SFP+ modullar</t>
        </is>
      </c>
      <c r="B82" s="4" t="inlineStr">
        <is>
          <t>SFP+ optik moduli, 300m gacha (5dB), 850nm</t>
        </is>
      </c>
      <c r="C82" s="5" t="inlineStr"/>
      <c r="D82" s="5" t="n">
        <v>386639</v>
      </c>
      <c r="E82" s="5" t="n">
        <v>345213</v>
      </c>
      <c r="F82" s="5" t="inlineStr"/>
      <c r="G82" s="5" t="inlineStr">
        <is>
          <t>SNR</t>
        </is>
      </c>
      <c r="H82" s="5">
        <f>HYPERLINK("https://itrix.uz/product/776", "🔗 Mahsulot sotib olish")</f>
        <v/>
      </c>
      <c r="I82" t="inlineStr">
        <is>
          <t>43-776-624</t>
        </is>
      </c>
    </row>
    <row r="83" ht="30" customHeight="1">
      <c r="A83" s="4" t="inlineStr">
        <is>
          <t>SFP+ modullar</t>
        </is>
      </c>
      <c r="B83" s="4" t="inlineStr">
        <is>
          <t>SFP+ WDM moduli, 3 km gacha masofa (5dB), 1270nm</t>
        </is>
      </c>
      <c r="C83" s="5" t="inlineStr"/>
      <c r="D83" s="5" t="n">
        <v>815830</v>
      </c>
      <c r="E83" s="5" t="n">
        <v>728420</v>
      </c>
      <c r="F83" s="5" t="inlineStr"/>
      <c r="G83" s="5" t="inlineStr">
        <is>
          <t>SNR</t>
        </is>
      </c>
      <c r="H83" s="5">
        <f>HYPERLINK("https://itrix.uz/product/735", "🔗 Mahsulot sotib olish")</f>
        <v/>
      </c>
      <c r="I83" t="inlineStr">
        <is>
          <t>43-735-646</t>
        </is>
      </c>
    </row>
    <row r="84" ht="30" customHeight="1">
      <c r="A84" s="4" t="inlineStr">
        <is>
          <t>SFP+ modullar</t>
        </is>
      </c>
      <c r="B84" s="4" t="inlineStr">
        <is>
          <t>SFP+ DWDM optik moduli, 80 km gacha masofa (24dB), 1547.72nm</t>
        </is>
      </c>
      <c r="C84" s="5" t="inlineStr"/>
      <c r="D84" s="5" t="n">
        <v>8257234</v>
      </c>
      <c r="E84" s="5" t="n">
        <v>7372530</v>
      </c>
      <c r="F84" s="5" t="inlineStr"/>
      <c r="G84" s="5" t="inlineStr">
        <is>
          <t>SNR</t>
        </is>
      </c>
      <c r="H84" s="5">
        <f>HYPERLINK("https://itrix.uz/product/753", "🔗 Mahsulot sotib olish")</f>
        <v/>
      </c>
      <c r="I84" t="inlineStr">
        <is>
          <t>43-753-663</t>
        </is>
      </c>
    </row>
    <row r="85" ht="30" customHeight="1">
      <c r="A85" s="4" t="inlineStr">
        <is>
          <t>SFP+ modullar</t>
        </is>
      </c>
      <c r="B85" s="4" t="inlineStr">
        <is>
          <t>SFP+ DWDM optik moduli, 80 km gacha masofa (24dB), 1528.77nm</t>
        </is>
      </c>
      <c r="C85" s="5" t="inlineStr"/>
      <c r="D85" s="5" t="n">
        <v>8257234</v>
      </c>
      <c r="E85" s="5" t="n">
        <v>7372530</v>
      </c>
      <c r="F85" s="5" t="inlineStr"/>
      <c r="G85" s="5" t="inlineStr">
        <is>
          <t>SNR</t>
        </is>
      </c>
      <c r="H85" s="5">
        <f>HYPERLINK("https://itrix.uz/product/754", "🔗 Mahsulot sotib olish")</f>
        <v/>
      </c>
      <c r="I85" t="inlineStr">
        <is>
          <t>43-754-664</t>
        </is>
      </c>
    </row>
    <row r="86" ht="30" customHeight="1">
      <c r="A86" s="4" t="inlineStr">
        <is>
          <t>SFP+ modullar</t>
        </is>
      </c>
      <c r="B86" s="4" t="inlineStr">
        <is>
          <t>SFP+ DWDM optik moduli, 80 km gacha masofa (24dB), 1531.12nm</t>
        </is>
      </c>
      <c r="C86" s="5" t="inlineStr"/>
      <c r="D86" s="5" t="n">
        <v>8257234</v>
      </c>
      <c r="E86" s="5" t="n">
        <v>7372530</v>
      </c>
      <c r="F86" s="5" t="inlineStr"/>
      <c r="G86" s="5" t="inlineStr">
        <is>
          <t>SNR</t>
        </is>
      </c>
      <c r="H86" s="5">
        <f>HYPERLINK("https://itrix.uz/product/757", "🔗 Mahsulot sotib olish")</f>
        <v/>
      </c>
      <c r="I86" t="inlineStr">
        <is>
          <t>43-757-666</t>
        </is>
      </c>
    </row>
    <row r="87" ht="30" customHeight="1">
      <c r="A87" s="4" t="inlineStr">
        <is>
          <t>SFP+ modullar</t>
        </is>
      </c>
      <c r="B87" s="4" t="inlineStr">
        <is>
          <t>SFP+ DWDM optik moduli, 80 km gacha masofa (24dB), 1550.12nm</t>
        </is>
      </c>
      <c r="C87" s="5" t="inlineStr"/>
      <c r="D87" s="5" t="n">
        <v>8257234</v>
      </c>
      <c r="E87" s="5" t="n">
        <v>7372530</v>
      </c>
      <c r="F87" s="5" t="inlineStr"/>
      <c r="G87" s="5" t="inlineStr">
        <is>
          <t>SNR</t>
        </is>
      </c>
      <c r="H87" s="5">
        <f>HYPERLINK("https://itrix.uz/product/758", "🔗 Mahsulot sotib olish")</f>
        <v/>
      </c>
      <c r="I87" t="inlineStr">
        <is>
          <t>43-758-667</t>
        </is>
      </c>
    </row>
    <row r="88" ht="30" customHeight="1">
      <c r="A88" s="4" t="inlineStr">
        <is>
          <t>SFP modullar</t>
        </is>
      </c>
      <c r="B88" s="4" t="inlineStr">
        <is>
          <t>SFP modul Grandstream F-MM850-300M-10G– 10G</t>
        </is>
      </c>
      <c r="C88" s="5" t="inlineStr"/>
      <c r="D88" s="5" t="n">
        <v>307359</v>
      </c>
      <c r="E88" s="5" t="n">
        <v>274428</v>
      </c>
      <c r="F88" s="5" t="inlineStr"/>
      <c r="G88" s="5" t="inlineStr">
        <is>
          <t>Grandstream</t>
        </is>
      </c>
      <c r="H88" s="5">
        <f>HYPERLINK("https://itrix.uz/product/912", "🔗 Mahsulot sotib olish")</f>
        <v/>
      </c>
      <c r="I88" t="inlineStr">
        <is>
          <t>43-912-802</t>
        </is>
      </c>
    </row>
    <row r="89" ht="30" customHeight="1">
      <c r="A89" s="4" t="inlineStr">
        <is>
          <t>SFP+ modullar</t>
        </is>
      </c>
      <c r="B89" s="4" t="inlineStr">
        <is>
          <t>SFP+ CWDM optik moduli, 60 km gacha masofa (23dB), 1290nm</t>
        </is>
      </c>
      <c r="C89" s="5" t="inlineStr"/>
      <c r="D89" s="5" t="n">
        <v>7247610</v>
      </c>
      <c r="E89" s="5" t="n">
        <v>6471080</v>
      </c>
      <c r="F89" s="5" t="inlineStr"/>
      <c r="G89" s="5" t="inlineStr">
        <is>
          <t>SNR</t>
        </is>
      </c>
      <c r="H89" s="5">
        <f>HYPERLINK("https://itrix.uz/product/759", "🔗 Mahsulot sotib olish")</f>
        <v/>
      </c>
      <c r="I89" t="inlineStr">
        <is>
          <t>43-759-668</t>
        </is>
      </c>
    </row>
    <row r="90" ht="30" customHeight="1">
      <c r="A90" s="4" t="inlineStr">
        <is>
          <t>SFP+ modullar</t>
        </is>
      </c>
      <c r="B90" s="4" t="inlineStr">
        <is>
          <t>SFP+ CWDM optik moduli, 60 km gacha masofa (23dB), 1270nm</t>
        </is>
      </c>
      <c r="C90" s="5" t="inlineStr"/>
      <c r="D90" s="5" t="n">
        <v>7247610</v>
      </c>
      <c r="E90" s="5" t="n">
        <v>6471080</v>
      </c>
      <c r="F90" s="5" t="inlineStr"/>
      <c r="G90" s="5" t="inlineStr">
        <is>
          <t>SNR</t>
        </is>
      </c>
      <c r="H90" s="5">
        <f>HYPERLINK("https://itrix.uz/product/760", "🔗 Mahsulot sotib olish")</f>
        <v/>
      </c>
      <c r="I90" t="inlineStr">
        <is>
          <t>43-760-669</t>
        </is>
      </c>
    </row>
    <row r="91" ht="30" customHeight="1">
      <c r="A91" s="4" t="inlineStr">
        <is>
          <t>SFP+ modullar</t>
        </is>
      </c>
      <c r="B91" s="4" t="inlineStr">
        <is>
          <t>SFP+ CWDM optik moduli, 10 km gacha masofa (10dB), 1330nm</t>
        </is>
      </c>
      <c r="C91" s="5" t="inlineStr"/>
      <c r="D91" s="5" t="n">
        <v>2760949</v>
      </c>
      <c r="E91" s="5" t="n">
        <v>2465133</v>
      </c>
      <c r="F91" s="5" t="inlineStr"/>
      <c r="G91" s="5" t="inlineStr">
        <is>
          <t>SNR</t>
        </is>
      </c>
      <c r="H91" s="5">
        <f>HYPERLINK("https://itrix.uz/product/761", "🔗 Mahsulot sotib olish")</f>
        <v/>
      </c>
      <c r="I91" t="inlineStr">
        <is>
          <t>43-761-670</t>
        </is>
      </c>
    </row>
    <row r="92" ht="30" customHeight="1">
      <c r="A92" s="4" t="inlineStr">
        <is>
          <t>SFP modullar</t>
        </is>
      </c>
      <c r="B92" s="4" t="inlineStr">
        <is>
          <t>Modul SFP‑Grandstream F-SM1310-20KM-1.25G</t>
        </is>
      </c>
      <c r="C92" s="5" t="inlineStr"/>
      <c r="D92" s="5" t="n">
        <v>222795</v>
      </c>
      <c r="E92" s="5" t="n">
        <v>198924</v>
      </c>
      <c r="F92" s="5" t="inlineStr"/>
      <c r="G92" s="5" t="inlineStr">
        <is>
          <t>Grandstream</t>
        </is>
      </c>
      <c r="H92" s="5">
        <f>HYPERLINK("https://itrix.uz/product/913", "🔗 Mahsulot sotib olish")</f>
        <v/>
      </c>
      <c r="I92" t="inlineStr">
        <is>
          <t>43-913-803</t>
        </is>
      </c>
    </row>
    <row r="93" ht="30" customHeight="1">
      <c r="A93" s="4" t="inlineStr">
        <is>
          <t>SFP+ modullar</t>
        </is>
      </c>
      <c r="B93" s="4" t="inlineStr">
        <is>
          <t>SFP+ DWDM optik moduli, 80 km gacha masofa (24dB), 1530.33nm</t>
        </is>
      </c>
      <c r="C93" s="5" t="inlineStr"/>
      <c r="D93" s="5" t="n">
        <v>8257234</v>
      </c>
      <c r="E93" s="5" t="n">
        <v>7372530</v>
      </c>
      <c r="F93" s="5" t="inlineStr"/>
      <c r="G93" s="5" t="inlineStr">
        <is>
          <t>SNR</t>
        </is>
      </c>
      <c r="H93" s="5">
        <f>HYPERLINK("https://itrix.uz/product/763", "🔗 Mahsulot sotib olish")</f>
        <v/>
      </c>
      <c r="I93" t="inlineStr">
        <is>
          <t>43-763-672</t>
        </is>
      </c>
    </row>
    <row r="94" ht="30" customHeight="1">
      <c r="A94" s="4" t="inlineStr">
        <is>
          <t>SFP+ modullar</t>
        </is>
      </c>
      <c r="B94" s="4" t="inlineStr">
        <is>
          <t>SFP+ DWDM optik moduli, 80 km gacha masofa (24dB), 1548.51nm</t>
        </is>
      </c>
      <c r="C94" s="5" t="inlineStr"/>
      <c r="D94" s="5" t="n">
        <v>8257234</v>
      </c>
      <c r="E94" s="5" t="n">
        <v>7372530</v>
      </c>
      <c r="F94" s="5" t="inlineStr"/>
      <c r="G94" s="5" t="inlineStr">
        <is>
          <t>SNR</t>
        </is>
      </c>
      <c r="H94" s="5">
        <f>HYPERLINK("https://itrix.uz/product/764", "🔗 Mahsulot sotib olish")</f>
        <v/>
      </c>
      <c r="I94" t="inlineStr">
        <is>
          <t>43-764-673</t>
        </is>
      </c>
    </row>
    <row r="95" ht="30" customHeight="1">
      <c r="A95" s="4" t="inlineStr">
        <is>
          <t>SFP+ modullar</t>
        </is>
      </c>
      <c r="B95" s="4" t="inlineStr">
        <is>
          <t>SFP+ WDM moduli, 40 km gacha masofa (16dB), 1270nm</t>
        </is>
      </c>
      <c r="C95" s="5" t="inlineStr"/>
      <c r="D95" s="5" t="n">
        <v>1090936</v>
      </c>
      <c r="E95" s="5" t="n">
        <v>974050</v>
      </c>
      <c r="F95" s="5" t="inlineStr"/>
      <c r="G95" s="5" t="inlineStr">
        <is>
          <t>SNR</t>
        </is>
      </c>
      <c r="H95" s="5">
        <f>HYPERLINK("https://itrix.uz/product/766", "🔗 Mahsulot sotib olish")</f>
        <v/>
      </c>
      <c r="I95" t="inlineStr">
        <is>
          <t>43-766-675</t>
        </is>
      </c>
    </row>
    <row r="96" ht="30" customHeight="1">
      <c r="A96" s="4" t="inlineStr">
        <is>
          <t>SFP+ modullar</t>
        </is>
      </c>
      <c r="B96" s="4" t="inlineStr">
        <is>
          <t>SFP+ optik moduli, 40 km gacha (15dB), 1550nm</t>
        </is>
      </c>
      <c r="C96" s="5" t="inlineStr"/>
      <c r="D96" s="5" t="n">
        <v>4128346</v>
      </c>
      <c r="E96" s="5" t="n">
        <v>3686023</v>
      </c>
      <c r="F96" s="5" t="inlineStr"/>
      <c r="G96" s="5" t="inlineStr">
        <is>
          <t>SNR</t>
        </is>
      </c>
      <c r="H96" s="5">
        <f>HYPERLINK("https://itrix.uz/product/774", "🔗 Mahsulot sotib olish")</f>
        <v/>
      </c>
      <c r="I96" t="inlineStr">
        <is>
          <t>43-774-682</t>
        </is>
      </c>
    </row>
    <row r="97" ht="30" customHeight="1">
      <c r="A97" s="4" t="inlineStr">
        <is>
          <t>SFP+ modullar</t>
        </is>
      </c>
      <c r="B97" s="4" t="inlineStr">
        <is>
          <t>SNR-SFP-W53-3-LC — SFP WDM modul, 1550nm, LC, 3 km gacha (6 dB)</t>
        </is>
      </c>
      <c r="C97" s="5" t="inlineStr"/>
      <c r="D97" s="5" t="n">
        <v>311832</v>
      </c>
      <c r="E97" s="5" t="n">
        <v>278421</v>
      </c>
      <c r="F97" s="5" t="inlineStr"/>
      <c r="G97" s="5" t="inlineStr">
        <is>
          <t>SNR</t>
        </is>
      </c>
      <c r="H97" s="5">
        <f>HYPERLINK("https://itrix.uz/product/882", "🔗 Mahsulot sotib olish")</f>
        <v/>
      </c>
      <c r="I97" t="inlineStr">
        <is>
          <t>43-882-770</t>
        </is>
      </c>
    </row>
    <row r="98" ht="30" customHeight="1">
      <c r="A98" s="4" t="inlineStr">
        <is>
          <t>SFP modullar</t>
        </is>
      </c>
      <c r="B98" s="4" t="inlineStr">
        <is>
          <t>Ubiquiti UACC-OM-SFP28-SR SFP moduli (25G SR optik transiver)</t>
        </is>
      </c>
      <c r="C98" s="5" t="inlineStr"/>
      <c r="D98" s="5" t="n">
        <v>982927</v>
      </c>
      <c r="E98" s="5" t="n">
        <v>877613</v>
      </c>
      <c r="F98" s="5" t="n">
        <v>810095</v>
      </c>
      <c r="G98" s="5" t="inlineStr">
        <is>
          <t>UniFi UBIQUITI</t>
        </is>
      </c>
      <c r="H98" s="5">
        <f>HYPERLINK("https://itrix.uz/product/1385", "🔗 Mahsulot sotib olish")</f>
        <v/>
      </c>
      <c r="I98" t="inlineStr">
        <is>
          <t>43-1385-1085</t>
        </is>
      </c>
    </row>
    <row r="99" ht="30" customHeight="1">
      <c r="A99" s="4" t="inlineStr">
        <is>
          <t>SFP modullar</t>
        </is>
      </c>
      <c r="B99" s="4" t="inlineStr">
        <is>
          <t>Ubiquiti UACC-OM-SM-10G-S-2 SFP+ 10G bir modali transiver</t>
        </is>
      </c>
      <c r="C99" s="5" t="inlineStr"/>
      <c r="D99" s="5" t="n">
        <v>3074813</v>
      </c>
      <c r="E99" s="5" t="n">
        <v>2745369</v>
      </c>
      <c r="F99" s="5" t="n">
        <v>2534103</v>
      </c>
      <c r="G99" s="5" t="inlineStr">
        <is>
          <t>UniFi UBIQUITI</t>
        </is>
      </c>
      <c r="H99" s="5">
        <f>HYPERLINK("https://itrix.uz/product/1388", "🔗 Mahsulot sotib olish")</f>
        <v/>
      </c>
      <c r="I99" t="inlineStr">
        <is>
          <t>43-1388-1088</t>
        </is>
      </c>
    </row>
    <row r="100" ht="30" customHeight="1">
      <c r="A100" s="4" t="inlineStr">
        <is>
          <t>SFP+ modullar</t>
        </is>
      </c>
      <c r="B100" s="4" t="inlineStr">
        <is>
          <t>SFP moduli MikroTik S-85DLC03D</t>
        </is>
      </c>
      <c r="C100" s="5" t="inlineStr"/>
      <c r="D100" s="5" t="n">
        <v>932513</v>
      </c>
      <c r="E100" s="5" t="n">
        <v>832601</v>
      </c>
      <c r="F100" s="5" t="n">
        <v>768592</v>
      </c>
      <c r="G100" s="5" t="inlineStr">
        <is>
          <t>Mikrotik</t>
        </is>
      </c>
      <c r="H100" s="5">
        <f>HYPERLINK("https://itrix.uz/product/1333", "🔗 Mahsulot sotib olish")</f>
        <v/>
      </c>
      <c r="I100" t="inlineStr">
        <is>
          <t>43-1333-1034</t>
        </is>
      </c>
    </row>
    <row r="101" ht="30" customHeight="1">
      <c r="A101" s="4" t="inlineStr">
        <is>
          <t>SFP modullar</t>
        </is>
      </c>
      <c r="B101" s="4" t="inlineStr">
        <is>
          <t>MikroTik S-RJ01 SFP-moduli — yuqori tezlikdagi tarmoq yechimi</t>
        </is>
      </c>
      <c r="C101" s="5" t="inlineStr"/>
      <c r="D101" s="5" t="n">
        <v>478792</v>
      </c>
      <c r="E101" s="5" t="n">
        <v>427493</v>
      </c>
      <c r="F101" s="5" t="n">
        <v>394702</v>
      </c>
      <c r="G101" s="5" t="inlineStr">
        <is>
          <t>Mikrotik</t>
        </is>
      </c>
      <c r="H101" s="5">
        <f>HYPERLINK("https://itrix.uz/product/1335", "🔗 Mahsulot sotib olish")</f>
        <v/>
      </c>
      <c r="I101" t="inlineStr">
        <is>
          <t>43-1335-1036</t>
        </is>
      </c>
    </row>
    <row r="102" ht="30" customHeight="1">
      <c r="A102" s="4" t="inlineStr">
        <is>
          <t>SFP+ modullar</t>
        </is>
      </c>
      <c r="B102" s="4" t="inlineStr">
        <is>
          <t>MikroTik S+RJ10 SFP modul — yuqori tezlikli tarmoq yechimi</t>
        </is>
      </c>
      <c r="C102" s="5" t="inlineStr"/>
      <c r="D102" s="5" t="n">
        <v>932513</v>
      </c>
      <c r="E102" s="5" t="n">
        <v>832601</v>
      </c>
      <c r="F102" s="5" t="n">
        <v>768592</v>
      </c>
      <c r="G102" s="5" t="inlineStr">
        <is>
          <t>Mikrotik</t>
        </is>
      </c>
      <c r="H102" s="5">
        <f>HYPERLINK("https://itrix.uz/product/1336", "🔗 Mahsulot sotib olish")</f>
        <v/>
      </c>
      <c r="I102" t="inlineStr">
        <is>
          <t>43-1336-1037</t>
        </is>
      </c>
    </row>
    <row r="103" ht="30" customHeight="1">
      <c r="A103" s="4" t="inlineStr">
        <is>
          <t>SFP modullar</t>
        </is>
      </c>
      <c r="B103" s="4" t="inlineStr">
        <is>
          <t>Ubiquiti UACC-CM-RJ45-1G SFP moduli</t>
        </is>
      </c>
      <c r="C103" s="5" t="inlineStr"/>
      <c r="D103" s="5" t="n">
        <v>378101</v>
      </c>
      <c r="E103" s="5" t="n">
        <v>337590</v>
      </c>
      <c r="F103" s="5" t="n">
        <v>311575</v>
      </c>
      <c r="G103" s="5" t="inlineStr">
        <is>
          <t>UniFi UBIQUITI</t>
        </is>
      </c>
      <c r="H103" s="5">
        <f>HYPERLINK("https://itrix.uz/product/1378", "🔗 Mahsulot sotib olish")</f>
        <v/>
      </c>
      <c r="I103" t="inlineStr">
        <is>
          <t>43-1378-1078</t>
        </is>
      </c>
    </row>
    <row r="104" ht="30" customHeight="1">
      <c r="A104" s="4" t="inlineStr">
        <is>
          <t>SFP modullar</t>
        </is>
      </c>
      <c r="B104" s="4" t="inlineStr">
        <is>
          <t>Grandstream F-MM850-550M-1.25G optik SFP-moduli</t>
        </is>
      </c>
      <c r="C104" s="5" t="inlineStr"/>
      <c r="D104" s="5" t="n">
        <v>216832</v>
      </c>
      <c r="E104" s="5" t="n">
        <v>193600</v>
      </c>
      <c r="F104" s="5" t="inlineStr"/>
      <c r="G104" s="5" t="inlineStr">
        <is>
          <t>Grandstream</t>
        </is>
      </c>
      <c r="H104" s="5">
        <f>HYPERLINK("https://itrix.uz/product/1234", "🔗 Mahsulot sotib olish")</f>
        <v/>
      </c>
      <c r="I104" t="inlineStr">
        <is>
          <t>43-1234-945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9C2C05"/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cols>
    <col width="30" customWidth="1" min="1" max="1"/>
    <col width="100" customWidth="1" min="2" max="2"/>
    <col width="30" customWidth="1" min="3" max="3"/>
    <col width="20" customWidth="1" min="4" max="4"/>
    <col width="20" customWidth="1" min="5" max="5"/>
    <col width="20" customWidth="1" min="6" max="6"/>
    <col width="25" customWidth="1" min="7" max="7"/>
    <col width="20" customWidth="1" min="8" max="8"/>
  </cols>
  <sheetData>
    <row r="1" ht="30" customHeight="1">
      <c r="A1" s="1" t="inlineStr">
        <is>
          <t>Kategoriya</t>
        </is>
      </c>
      <c r="B1" s="1" t="inlineStr">
        <is>
          <t>Mahsulot nomi</t>
        </is>
      </c>
      <c r="C1" s="2" t="inlineStr">
        <is>
          <t>Kafolat</t>
        </is>
      </c>
      <c r="D1" s="2" t="inlineStr">
        <is>
          <t>QQS bilan narxi</t>
        </is>
      </c>
      <c r="E1" s="2" t="inlineStr">
        <is>
          <t>QQSsiz narxi</t>
        </is>
      </c>
      <c r="F1" s="2" t="inlineStr">
        <is>
          <t>5 dona dan</t>
        </is>
      </c>
      <c r="G1" s="2" t="inlineStr">
        <is>
          <t>Brend</t>
        </is>
      </c>
      <c r="H1" s="2" t="inlineStr">
        <is>
          <t>Saytda</t>
        </is>
      </c>
      <c r="I1" s="3" t="inlineStr">
        <is>
          <t>SKU</t>
        </is>
      </c>
    </row>
    <row r="2" ht="30" customHeight="1">
      <c r="A2" s="4" t="inlineStr">
        <is>
          <t>Kompyuterlar</t>
        </is>
      </c>
      <c r="B2" s="4" t="inlineStr">
        <is>
          <t>Dell Pro 24 All-in-One Plus QB24250 monoblok 23.8" FHD Touch, Core Ultra 7 265, 32GB, SSD 1TB</t>
        </is>
      </c>
      <c r="C2" s="5" t="inlineStr"/>
      <c r="D2" s="5" t="n">
        <v>26561920</v>
      </c>
      <c r="E2" s="5" t="n">
        <v>23716000</v>
      </c>
      <c r="F2" s="5" t="inlineStr"/>
      <c r="G2" s="5" t="inlineStr">
        <is>
          <t>Dell</t>
        </is>
      </c>
      <c r="H2" s="5">
        <f>HYPERLINK("https://itrix.uz/product/1459", "🔗 Mahsulot sotib olish")</f>
        <v/>
      </c>
      <c r="I2" t="inlineStr">
        <is>
          <t>59-1459-1159</t>
        </is>
      </c>
    </row>
    <row r="3" ht="30" customHeight="1">
      <c r="A3" s="4" t="inlineStr">
        <is>
          <t>Kompyuterlar</t>
        </is>
      </c>
      <c r="B3" s="4" t="inlineStr">
        <is>
          <t>HP OmniStudio X 27-cs1055t B73M4AA monoblok 27" FHD, Core Ultra 5, 16GB, SSD 512GB</t>
        </is>
      </c>
      <c r="C3" s="5" t="inlineStr"/>
      <c r="D3" s="5" t="n">
        <v>21818720</v>
      </c>
      <c r="E3" s="5" t="n">
        <v>19481000</v>
      </c>
      <c r="F3" s="5" t="inlineStr"/>
      <c r="G3" s="5" t="inlineStr">
        <is>
          <t>HP</t>
        </is>
      </c>
      <c r="H3" s="5">
        <f>HYPERLINK("https://itrix.uz/product/1460", "🔗 Mahsulot sotib olish")</f>
        <v/>
      </c>
      <c r="I3" t="inlineStr">
        <is>
          <t>59-1460-1160</t>
        </is>
      </c>
    </row>
    <row r="4" ht="30" customHeight="1">
      <c r="A4" s="4" t="inlineStr">
        <is>
          <t>Kompyuterlar</t>
        </is>
      </c>
      <c r="B4" s="4" t="inlineStr">
        <is>
          <t>Lenovo IdeaCentre AIO 27IRH9 F0HM0085LD monoblok 27" FHD, Core i5-13420H, 16GB, SSD 512GB</t>
        </is>
      </c>
      <c r="C4" s="5" t="inlineStr"/>
      <c r="D4" s="5" t="n">
        <v>25396448</v>
      </c>
      <c r="E4" s="5" t="n">
        <v>22675400</v>
      </c>
      <c r="F4" s="5" t="inlineStr"/>
      <c r="G4" s="5" t="inlineStr">
        <is>
          <t>Lenovo</t>
        </is>
      </c>
      <c r="H4" s="5">
        <f>HYPERLINK("https://itrix.uz/product/1461", "🔗 Mahsulot sotib olish")</f>
        <v/>
      </c>
      <c r="I4" t="inlineStr">
        <is>
          <t>59-1461-1161</t>
        </is>
      </c>
    </row>
    <row r="5" ht="30" customHeight="1">
      <c r="A5" s="4" t="inlineStr">
        <is>
          <t>Kompyuterlar</t>
        </is>
      </c>
      <c r="B5" s="4" t="inlineStr">
        <is>
          <t>HP OmniStudio X 27-cu0025ci D6QR1EA monoblok 27" FHD, Core 5 210H, 16GB, SSD 512GB</t>
        </is>
      </c>
      <c r="C5" s="5" t="inlineStr"/>
      <c r="D5" s="5" t="n">
        <v>13023472</v>
      </c>
      <c r="E5" s="5" t="n">
        <v>11628100</v>
      </c>
      <c r="F5" s="5" t="inlineStr"/>
      <c r="G5" s="5" t="inlineStr">
        <is>
          <t>HP</t>
        </is>
      </c>
      <c r="H5" s="5">
        <f>HYPERLINK("https://itrix.uz/product/1462", "🔗 Mahsulot sotib olish")</f>
        <v/>
      </c>
      <c r="I5" t="inlineStr">
        <is>
          <t>59-1462-1162</t>
        </is>
      </c>
    </row>
    <row r="6" ht="30" customHeight="1">
      <c r="A6" s="4" t="inlineStr">
        <is>
          <t>Kompyuterlar</t>
        </is>
      </c>
      <c r="B6" s="4" t="inlineStr">
        <is>
          <t>Tayyor kompyuter to‘plami Ultra 5-225, DDR5 32GB, SSD 256GB, HDD 1TB, 2× Redmi A27</t>
        </is>
      </c>
      <c r="C6" s="5" t="inlineStr"/>
      <c r="D6" s="5" t="n">
        <v>17129728</v>
      </c>
      <c r="E6" s="5" t="n">
        <v>15294400</v>
      </c>
      <c r="F6" s="5" t="inlineStr"/>
      <c r="G6" s="5" t="inlineStr"/>
      <c r="H6" s="5">
        <f>HYPERLINK("https://itrix.uz/product/1463", "🔗 Mahsulot sotib olish")</f>
        <v/>
      </c>
      <c r="I6" t="inlineStr">
        <is>
          <t>59-1463-1163</t>
        </is>
      </c>
    </row>
    <row r="7" ht="30" customHeight="1">
      <c r="A7" s="4" t="inlineStr">
        <is>
          <t>Kompyuterlar</t>
        </is>
      </c>
      <c r="B7" s="4" t="inlineStr">
        <is>
          <t>Tayyor kompyuter to‘plami Ultra 5-225, DDR5 16GB, SSD 256GB, HDD 1TB, 2× Redmi A27</t>
        </is>
      </c>
      <c r="C7" s="5" t="inlineStr"/>
      <c r="D7" s="5" t="n">
        <v>14500640</v>
      </c>
      <c r="E7" s="5" t="n">
        <v>12947000</v>
      </c>
      <c r="F7" s="5" t="inlineStr"/>
      <c r="G7" s="5" t="inlineStr"/>
      <c r="H7" s="5">
        <f>HYPERLINK("https://itrix.uz/product/1464", "🔗 Mahsulot sotib olish")</f>
        <v/>
      </c>
      <c r="I7" t="inlineStr">
        <is>
          <t>59-1464-1164</t>
        </is>
      </c>
    </row>
    <row r="8" ht="30" customHeight="1">
      <c r="A8" s="4" t="inlineStr">
        <is>
          <t>Kompyuterlar</t>
        </is>
      </c>
      <c r="B8" s="4" t="inlineStr">
        <is>
          <t>Tayyor kompyuter to‘plami Ultra 5-225, DDR5 16GB, SSD 256GB, HDD 1TB, Redmi A27</t>
        </is>
      </c>
      <c r="C8" s="5" t="inlineStr"/>
      <c r="D8" s="5" t="n">
        <v>13145440</v>
      </c>
      <c r="E8" s="5" t="n">
        <v>11737000</v>
      </c>
      <c r="F8" s="5" t="inlineStr"/>
      <c r="G8" s="5" t="inlineStr"/>
      <c r="H8" s="5">
        <f>HYPERLINK("https://itrix.uz/product/1465", "🔗 Mahsulot sotib olish")</f>
        <v/>
      </c>
      <c r="I8" t="inlineStr">
        <is>
          <t>59-1465-1165</t>
        </is>
      </c>
    </row>
    <row r="9" ht="30" customHeight="1">
      <c r="A9" s="4" t="inlineStr">
        <is>
          <t>Kompyuterlar</t>
        </is>
      </c>
      <c r="B9" s="4" t="inlineStr">
        <is>
          <t>Tayyor kompyuter to‘plami Ultra 5-225, DDR5 32GB, SSD 512GB, HDD 2TB, Redmi A27</t>
        </is>
      </c>
      <c r="C9" s="5" t="inlineStr"/>
      <c r="D9" s="5" t="n">
        <v>16479232</v>
      </c>
      <c r="E9" s="5" t="n">
        <v>14713600</v>
      </c>
      <c r="F9" s="5" t="inlineStr"/>
      <c r="G9" s="5" t="inlineStr"/>
      <c r="H9" s="5">
        <f>HYPERLINK("https://itrix.uz/product/1466", "🔗 Mahsulot sotib olish")</f>
        <v/>
      </c>
      <c r="I9" t="inlineStr">
        <is>
          <t>59-1466-1166</t>
        </is>
      </c>
    </row>
    <row r="10" ht="30" customHeight="1">
      <c r="A10" s="4" t="inlineStr">
        <is>
          <t>Kompyuterlar</t>
        </is>
      </c>
      <c r="B10" s="4" t="inlineStr">
        <is>
          <t>Tayyor kompyuter to‘plami i5-12400F, GTX 1650 4GB, DDR4 16GB, SSD 512GB, HDD 1TB, Redmi A27</t>
        </is>
      </c>
      <c r="C10" s="5" t="inlineStr"/>
      <c r="D10" s="5" t="n">
        <v>13524896</v>
      </c>
      <c r="E10" s="5" t="n">
        <v>12075800</v>
      </c>
      <c r="F10" s="5" t="inlineStr"/>
      <c r="G10" s="5" t="inlineStr"/>
      <c r="H10" s="5">
        <f>HYPERLINK("https://itrix.uz/product/1467", "🔗 Mahsulot sotib olish")</f>
        <v/>
      </c>
      <c r="I10" t="inlineStr">
        <is>
          <t>59-1467-1167</t>
        </is>
      </c>
    </row>
    <row r="11" ht="30" customHeight="1">
      <c r="A11" s="4" t="inlineStr">
        <is>
          <t>Kompyuterlar</t>
        </is>
      </c>
      <c r="B11" s="4" t="inlineStr">
        <is>
          <t>Tayyor kompyuter to‘plami Ultra 5-225, RTX 4060 8GB, DDR5 32GB, SSD 512GB, HDD 2TB, Redmi A27</t>
        </is>
      </c>
      <c r="C11" s="5" t="inlineStr"/>
      <c r="D11" s="5" t="n">
        <v>28730240</v>
      </c>
      <c r="E11" s="5" t="n">
        <v>25652000</v>
      </c>
      <c r="F11" s="5" t="inlineStr"/>
      <c r="G11" s="5" t="inlineStr"/>
      <c r="H11" s="5">
        <f>HYPERLINK("https://itrix.uz/product/1468", "🔗 Mahsulot sotib olish")</f>
        <v/>
      </c>
      <c r="I11" t="inlineStr">
        <is>
          <t>59-1468-1168</t>
        </is>
      </c>
    </row>
    <row r="12" ht="30" customHeight="1">
      <c r="A12" s="4" t="inlineStr">
        <is>
          <t>Kompyuterlar</t>
        </is>
      </c>
      <c r="B12" s="4" t="inlineStr">
        <is>
          <t>Tayyor kompyuter to‘plami Ultra 5-225, RTX 4060 8GB, DDR5 32GB, SSD 512GB, HDD 2TB, 2× Redmi A27</t>
        </is>
      </c>
      <c r="C12" s="5" t="inlineStr"/>
      <c r="D12" s="5" t="n">
        <v>32457040</v>
      </c>
      <c r="E12" s="5" t="n">
        <v>28979500</v>
      </c>
      <c r="F12" s="5" t="inlineStr"/>
      <c r="G12" s="5" t="inlineStr"/>
      <c r="H12" s="5">
        <f>HYPERLINK("https://itrix.uz/product/1469", "🔗 Mahsulot sotib olish")</f>
        <v/>
      </c>
      <c r="I12" t="inlineStr">
        <is>
          <t>59-1469-1169</t>
        </is>
      </c>
    </row>
    <row r="13" ht="30" customHeight="1">
      <c r="A13" s="4" t="inlineStr">
        <is>
          <t>Kompyuterlar</t>
        </is>
      </c>
      <c r="B13" s="4" t="inlineStr">
        <is>
          <t>Tayyor kompyuter to‘plami Ryzen 5 7500F, RTX 4060 8GB, DDR5 32GB, SSD 1TB, Redmi A27</t>
        </is>
      </c>
      <c r="C13" s="5" t="inlineStr"/>
      <c r="D13" s="5" t="n">
        <v>27307280</v>
      </c>
      <c r="E13" s="5" t="n">
        <v>24381500</v>
      </c>
      <c r="F13" s="5" t="inlineStr"/>
      <c r="G13" s="5" t="inlineStr"/>
      <c r="H13" s="5">
        <f>HYPERLINK("https://itrix.uz/product/1470", "🔗 Mahsulot sotib olish")</f>
        <v/>
      </c>
      <c r="I13" t="inlineStr">
        <is>
          <t>59-1470-1170</t>
        </is>
      </c>
    </row>
    <row r="14" ht="30" customHeight="1">
      <c r="A14" s="4" t="inlineStr">
        <is>
          <t>Kompyuterlar</t>
        </is>
      </c>
      <c r="B14" s="4" t="inlineStr">
        <is>
          <t>HP OmniStudio X 32 monoblok 31.5" 4K, Core Ultra 7 258V, 32GB, SSD 1TB</t>
        </is>
      </c>
      <c r="C14" s="5" t="inlineStr"/>
      <c r="D14" s="5" t="n">
        <v>32728080</v>
      </c>
      <c r="E14" s="5" t="n">
        <v>29221500</v>
      </c>
      <c r="F14" s="5" t="inlineStr"/>
      <c r="G14" s="5" t="inlineStr">
        <is>
          <t>HP</t>
        </is>
      </c>
      <c r="H14" s="5">
        <f>HYPERLINK("https://itrix.uz/product/1455", "🔗 Mahsulot sotib olish")</f>
        <v/>
      </c>
      <c r="I14" t="inlineStr">
        <is>
          <t>59-1455-1155</t>
        </is>
      </c>
    </row>
    <row r="15" ht="30" customHeight="1">
      <c r="A15" s="4" t="inlineStr">
        <is>
          <t>Kompyuterlar</t>
        </is>
      </c>
      <c r="B15" s="4" t="inlineStr">
        <is>
          <t>HP OmniStudio X 32 monoblok 31.5" 4K, Core Ultra 7 258V, 32GB, SSD 1TB</t>
        </is>
      </c>
      <c r="C15" s="5" t="inlineStr"/>
      <c r="D15" s="5" t="n">
        <v>38419920</v>
      </c>
      <c r="E15" s="5" t="n">
        <v>34303500</v>
      </c>
      <c r="F15" s="5" t="inlineStr"/>
      <c r="G15" s="5" t="inlineStr">
        <is>
          <t>HP</t>
        </is>
      </c>
      <c r="H15" s="5">
        <f>HYPERLINK("https://itrix.uz/product/1456", "🔗 Mahsulot sotib olish")</f>
        <v/>
      </c>
      <c r="I15" t="inlineStr">
        <is>
          <t>59-1456-1156</t>
        </is>
      </c>
    </row>
    <row r="16" ht="30" customHeight="1">
      <c r="A16" s="4" t="inlineStr">
        <is>
          <t>Kompyuterlar</t>
        </is>
      </c>
      <c r="B16" s="4" t="inlineStr">
        <is>
          <t>Моноблок Lenovo Yoga AIO 32ILL10 31.5" 4K, Core Ultra 7 258V, 32GB, SSD 1TB, RTX 4050</t>
        </is>
      </c>
      <c r="C16" s="5" t="inlineStr"/>
      <c r="D16" s="5" t="n">
        <v>51877056</v>
      </c>
      <c r="E16" s="5" t="n">
        <v>46318800</v>
      </c>
      <c r="F16" s="5" t="inlineStr"/>
      <c r="G16" s="5" t="inlineStr">
        <is>
          <t>Lenovo</t>
        </is>
      </c>
      <c r="H16" s="5">
        <f>HYPERLINK("https://itrix.uz/product/1457", "🔗 Mahsulot sotib olish")</f>
        <v/>
      </c>
      <c r="I16" t="inlineStr">
        <is>
          <t>59-1457-1157</t>
        </is>
      </c>
    </row>
    <row r="17" ht="30" customHeight="1">
      <c r="A17" s="4" t="inlineStr">
        <is>
          <t>Kompyuterlar</t>
        </is>
      </c>
      <c r="B17" s="4" t="inlineStr">
        <is>
          <t>Dell 27 All-in-One EC27260 monoblok 27" FHD Touch, Core Ultra 7 355, 32GB, SSD 1TB</t>
        </is>
      </c>
      <c r="C17" s="5" t="inlineStr"/>
      <c r="D17" s="5" t="n">
        <v>40195232</v>
      </c>
      <c r="E17" s="5" t="n">
        <v>35888600</v>
      </c>
      <c r="F17" s="5" t="inlineStr"/>
      <c r="G17" s="5" t="inlineStr">
        <is>
          <t>Dell</t>
        </is>
      </c>
      <c r="H17" s="5">
        <f>HYPERLINK("https://itrix.uz/product/1458", "🔗 Mahsulot sotib olish")</f>
        <v/>
      </c>
      <c r="I17" t="inlineStr">
        <is>
          <t>59-1458-1158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tabColor rgb="00A15A78"/>
    <outlinePr summaryBelow="1" summaryRight="1"/>
    <pageSetUpPr/>
  </sheetPr>
  <dimension ref="A1:I66"/>
  <sheetViews>
    <sheetView workbookViewId="0">
      <selection activeCell="A1" sqref="A1"/>
    </sheetView>
  </sheetViews>
  <sheetFormatPr baseColWidth="8" defaultRowHeight="15"/>
  <cols>
    <col width="30" customWidth="1" min="1" max="1"/>
    <col width="100" customWidth="1" min="2" max="2"/>
    <col width="30" customWidth="1" min="3" max="3"/>
    <col width="20" customWidth="1" min="4" max="4"/>
    <col width="20" customWidth="1" min="5" max="5"/>
    <col width="20" customWidth="1" min="6" max="6"/>
    <col width="25" customWidth="1" min="7" max="7"/>
    <col width="20" customWidth="1" min="8" max="8"/>
  </cols>
  <sheetData>
    <row r="1" ht="30" customHeight="1">
      <c r="A1" s="1" t="inlineStr">
        <is>
          <t>Kategoriya</t>
        </is>
      </c>
      <c r="B1" s="1" t="inlineStr">
        <is>
          <t>Mahsulot nomi</t>
        </is>
      </c>
      <c r="C1" s="2" t="inlineStr">
        <is>
          <t>Kafolat</t>
        </is>
      </c>
      <c r="D1" s="2" t="inlineStr">
        <is>
          <t>QQS bilan narxi</t>
        </is>
      </c>
      <c r="E1" s="2" t="inlineStr">
        <is>
          <t>QQSsiz narxi</t>
        </is>
      </c>
      <c r="F1" s="2" t="inlineStr">
        <is>
          <t>5 dona dan</t>
        </is>
      </c>
      <c r="G1" s="2" t="inlineStr">
        <is>
          <t>Brend</t>
        </is>
      </c>
      <c r="H1" s="2" t="inlineStr">
        <is>
          <t>Saytda</t>
        </is>
      </c>
      <c r="I1" s="3" t="inlineStr">
        <is>
          <t>SKU</t>
        </is>
      </c>
    </row>
    <row r="2" ht="30" customHeight="1">
      <c r="A2" s="4" t="inlineStr">
        <is>
          <t>WiFi ulanish nuqtalari</t>
        </is>
      </c>
      <c r="B2" s="4" t="inlineStr">
        <is>
          <t>Ubiquiti UniFi U7 Pro U7-Pro kirish nuqtasi</t>
        </is>
      </c>
      <c r="C2" s="5" t="inlineStr"/>
      <c r="D2" s="5" t="n">
        <v>3049607</v>
      </c>
      <c r="E2" s="5" t="n">
        <v>2722863</v>
      </c>
      <c r="F2" s="5" t="n">
        <v>2513412</v>
      </c>
      <c r="G2" s="5" t="inlineStr">
        <is>
          <t>UniFi UBIQUITI</t>
        </is>
      </c>
      <c r="H2" s="5">
        <f>HYPERLINK("https://itrix.uz/product/301", "🔗 Mahsulot sotib olish")</f>
        <v/>
      </c>
      <c r="I2" t="inlineStr">
        <is>
          <t>7-301-303</t>
        </is>
      </c>
    </row>
    <row r="3" ht="30" customHeight="1">
      <c r="A3" s="4" t="inlineStr">
        <is>
          <t>WiFi ulanish nuqtalari</t>
        </is>
      </c>
      <c r="B3" s="4" t="inlineStr">
        <is>
          <t xml:space="preserve"> Ubiquiti UniFi AP AC Pro kirish nuqtasi</t>
        </is>
      </c>
      <c r="C3" s="5" t="inlineStr"/>
      <c r="D3" s="5" t="n">
        <v>1839820</v>
      </c>
      <c r="E3" s="5" t="n">
        <v>1642696</v>
      </c>
      <c r="F3" s="5" t="n">
        <v>1516372</v>
      </c>
      <c r="G3" s="5" t="inlineStr">
        <is>
          <t>UniFi UBIQUITI</t>
        </is>
      </c>
      <c r="H3" s="5">
        <f>HYPERLINK("https://itrix.uz/product/297", "🔗 Mahsulot sotib olish")</f>
        <v/>
      </c>
      <c r="I3" t="inlineStr">
        <is>
          <t>7-297-299</t>
        </is>
      </c>
    </row>
    <row r="4" ht="30" customHeight="1">
      <c r="A4" s="4" t="inlineStr">
        <is>
          <t>WiFi ulanish nuqtalari</t>
        </is>
      </c>
      <c r="B4" s="4" t="inlineStr">
        <is>
          <t xml:space="preserve"> Ubiquiti UniFi AP AC Mesh UAP-AC-M kirish nuqtasi</t>
        </is>
      </c>
      <c r="C4" s="5" t="inlineStr"/>
      <c r="D4" s="5" t="n">
        <v>1734249</v>
      </c>
      <c r="E4" s="5" t="n">
        <v>1548437</v>
      </c>
      <c r="F4" s="5" t="n">
        <v>1447160</v>
      </c>
      <c r="G4" s="5" t="inlineStr">
        <is>
          <t>UniFi UBIQUITI</t>
        </is>
      </c>
      <c r="H4" s="5">
        <f>HYPERLINK("https://itrix.uz/product/299", "🔗 Mahsulot sotib olish")</f>
        <v/>
      </c>
      <c r="I4" t="inlineStr">
        <is>
          <t>7-299-301</t>
        </is>
      </c>
    </row>
    <row r="5" ht="30" customHeight="1">
      <c r="A5" s="4" t="inlineStr">
        <is>
          <t>WiFi ulanish nuqtalari</t>
        </is>
      </c>
      <c r="B5" s="4" t="inlineStr">
        <is>
          <t xml:space="preserve"> Ubiquiti UniFi U6 Long Range U6-LR kirish nuqtasi</t>
        </is>
      </c>
      <c r="C5" s="5" t="inlineStr"/>
      <c r="D5" s="5" t="n">
        <v>3760409</v>
      </c>
      <c r="E5" s="5" t="n">
        <v>3357508</v>
      </c>
      <c r="F5" s="5" t="n">
        <v>2888875</v>
      </c>
      <c r="G5" s="5" t="inlineStr">
        <is>
          <t>UniFi UBIQUITI</t>
        </is>
      </c>
      <c r="H5" s="5">
        <f>HYPERLINK("https://itrix.uz/product/300", "🔗 Mahsulot sotib olish")</f>
        <v/>
      </c>
      <c r="I5" t="inlineStr">
        <is>
          <t>7-300-302</t>
        </is>
      </c>
    </row>
    <row r="6" ht="30" customHeight="1">
      <c r="A6" s="4" t="inlineStr">
        <is>
          <t>WiFi ulanish nuqtalari</t>
        </is>
      </c>
      <c r="B6" s="4" t="inlineStr">
        <is>
          <t xml:space="preserve"> Ubiquiti UniFi U6 Plus U6+ kirish nuqtasi</t>
        </is>
      </c>
      <c r="C6" s="5" t="inlineStr"/>
      <c r="D6" s="5" t="n">
        <v>1807701</v>
      </c>
      <c r="E6" s="5" t="n">
        <v>1614019</v>
      </c>
      <c r="F6" s="5" t="n">
        <v>1419330</v>
      </c>
      <c r="G6" s="5" t="inlineStr">
        <is>
          <t>UniFi UBIQUITI</t>
        </is>
      </c>
      <c r="H6" s="5">
        <f>HYPERLINK("https://itrix.uz/product/303", "🔗 Mahsulot sotib olish")</f>
        <v/>
      </c>
      <c r="I6" t="inlineStr">
        <is>
          <t>7-303-305</t>
        </is>
      </c>
    </row>
    <row r="7" ht="30" customHeight="1">
      <c r="A7" s="4" t="inlineStr">
        <is>
          <t>WiFi ulanish nuqtalari</t>
        </is>
      </c>
      <c r="B7" s="4" t="inlineStr">
        <is>
          <t xml:space="preserve"> Ubiquiti UniFi Express UX marshrutizatori va kirish nuqtasi</t>
        </is>
      </c>
      <c r="C7" s="5" t="inlineStr"/>
      <c r="D7" s="5" t="n">
        <v>2385152</v>
      </c>
      <c r="E7" s="5" t="n">
        <v>2129600</v>
      </c>
      <c r="F7" s="5" t="inlineStr"/>
      <c r="G7" s="5" t="inlineStr">
        <is>
          <t>UniFi UBIQUITI</t>
        </is>
      </c>
      <c r="H7" s="5">
        <f>HYPERLINK("https://itrix.uz/product/307", "🔗 Mahsulot sotib olish")</f>
        <v/>
      </c>
      <c r="I7" t="inlineStr">
        <is>
          <t>7-307-309</t>
        </is>
      </c>
    </row>
    <row r="8" ht="30" customHeight="1">
      <c r="A8" s="4" t="inlineStr">
        <is>
          <t>WiFi ulanish nuqtalari</t>
        </is>
      </c>
      <c r="B8" s="4" t="inlineStr">
        <is>
          <t xml:space="preserve"> Ubiquiti airMAX PowerBeam 5AC PBE-5AC-Gen2 radiomosti</t>
        </is>
      </c>
      <c r="C8" s="5" t="inlineStr"/>
      <c r="D8" s="5" t="n">
        <v>2994992</v>
      </c>
      <c r="E8" s="5" t="n">
        <v>2674100</v>
      </c>
      <c r="F8" s="5" t="inlineStr"/>
      <c r="G8" s="5" t="inlineStr">
        <is>
          <t>UniFi UBIQUITI</t>
        </is>
      </c>
      <c r="H8" s="5">
        <f>HYPERLINK("https://itrix.uz/product/314", "🔗 Mahsulot sotib olish")</f>
        <v/>
      </c>
      <c r="I8" t="inlineStr">
        <is>
          <t>7-314-316</t>
        </is>
      </c>
    </row>
    <row r="9" ht="30" customHeight="1">
      <c r="A9" s="4" t="inlineStr">
        <is>
          <t>WiFi ulanish nuqtalari</t>
        </is>
      </c>
      <c r="B9" s="4" t="inlineStr">
        <is>
          <t xml:space="preserve"> Ubiquiti airMAX Lite AP LAP-120 kirish nuqtasi</t>
        </is>
      </c>
      <c r="C9" s="5" t="inlineStr"/>
      <c r="D9" s="5" t="n">
        <v>2452912</v>
      </c>
      <c r="E9" s="5" t="n">
        <v>2190100</v>
      </c>
      <c r="F9" s="5" t="inlineStr"/>
      <c r="G9" s="5" t="inlineStr">
        <is>
          <t>UniFi UBIQUITI</t>
        </is>
      </c>
      <c r="H9" s="5">
        <f>HYPERLINK("https://itrix.uz/product/315", "🔗 Mahsulot sotib olish")</f>
        <v/>
      </c>
      <c r="I9" t="inlineStr">
        <is>
          <t>7-315-317</t>
        </is>
      </c>
    </row>
    <row r="10" ht="30" customHeight="1">
      <c r="A10" s="4" t="inlineStr">
        <is>
          <t>WiFi ulanish nuqtalari</t>
        </is>
      </c>
      <c r="B10" s="4" t="inlineStr">
        <is>
          <t xml:space="preserve"> Wi-Fi router MikroTik hAP ac 2 RBD52G-5HacD2HnD-TC</t>
        </is>
      </c>
      <c r="C10" s="5" t="inlineStr"/>
      <c r="D10" s="5" t="n">
        <v>1134167</v>
      </c>
      <c r="E10" s="5" t="n">
        <v>1012649</v>
      </c>
      <c r="F10" s="5" t="n">
        <v>934725</v>
      </c>
      <c r="G10" s="5" t="inlineStr">
        <is>
          <t>Mikrotik</t>
        </is>
      </c>
      <c r="H10" s="5">
        <f>HYPERLINK("https://itrix.uz/product/316", "🔗 Mahsulot sotib olish")</f>
        <v/>
      </c>
      <c r="I10" t="inlineStr">
        <is>
          <t>7-316-318</t>
        </is>
      </c>
    </row>
    <row r="11" ht="30" customHeight="1">
      <c r="A11" s="4" t="inlineStr">
        <is>
          <t>WiFi ulanish nuqtalari</t>
        </is>
      </c>
      <c r="B11" s="4" t="inlineStr">
        <is>
          <t>MikroTik CAP RBcAP2nD kirish nuqtasi</t>
        </is>
      </c>
      <c r="C11" s="5" t="inlineStr"/>
      <c r="D11" s="5" t="n">
        <v>1206128</v>
      </c>
      <c r="E11" s="5" t="n">
        <v>1076900</v>
      </c>
      <c r="F11" s="5" t="inlineStr"/>
      <c r="G11" s="5" t="inlineStr">
        <is>
          <t>Mikrotik</t>
        </is>
      </c>
      <c r="H11" s="5">
        <f>HYPERLINK("https://itrix.uz/product/254", "🔗 Mahsulot sotib olish")</f>
        <v/>
      </c>
      <c r="I11" t="inlineStr">
        <is>
          <t>7-254-256</t>
        </is>
      </c>
    </row>
    <row r="12" ht="30" customHeight="1">
      <c r="A12" s="4" t="inlineStr">
        <is>
          <t>WiFi ulanish nuqtalari</t>
        </is>
      </c>
      <c r="B12" s="4" t="inlineStr">
        <is>
          <t>MikroTik CAP AC RBcAPGi-5acD2nD kirish nuqtasi</t>
        </is>
      </c>
      <c r="C12" s="5" t="inlineStr"/>
      <c r="D12" s="5" t="n">
        <v>1165472</v>
      </c>
      <c r="E12" s="5" t="n">
        <v>1040600</v>
      </c>
      <c r="F12" s="5" t="inlineStr"/>
      <c r="G12" s="5" t="inlineStr">
        <is>
          <t>Mikrotik</t>
        </is>
      </c>
      <c r="H12" s="5">
        <f>HYPERLINK("https://itrix.uz/product/253", "🔗 Mahsulot sotib olish")</f>
        <v/>
      </c>
      <c r="I12" t="inlineStr">
        <is>
          <t>7-253-255</t>
        </is>
      </c>
    </row>
    <row r="13" ht="30" customHeight="1">
      <c r="A13" s="4" t="inlineStr">
        <is>
          <t>WiFi ulanish nuqtalari</t>
        </is>
      </c>
      <c r="B13" s="4" t="inlineStr">
        <is>
          <t>Sektorli antenna Ubiquiti LiteAP ac (LAP-120)</t>
        </is>
      </c>
      <c r="C13" s="5" t="inlineStr"/>
      <c r="D13" s="5" t="n">
        <v>1411305</v>
      </c>
      <c r="E13" s="5" t="n">
        <v>1260094</v>
      </c>
      <c r="F13" s="5" t="n">
        <v>1163173</v>
      </c>
      <c r="G13" s="5" t="inlineStr">
        <is>
          <t>UniFi UBIQUITI</t>
        </is>
      </c>
      <c r="H13" s="5">
        <f>HYPERLINK("https://itrix.uz/product/1347", "🔗 Mahsulot sotib olish")</f>
        <v/>
      </c>
      <c r="I13" t="inlineStr">
        <is>
          <t>7-1347-1047</t>
        </is>
      </c>
    </row>
    <row r="14" ht="30" customHeight="1">
      <c r="A14" s="4" t="inlineStr">
        <is>
          <t>WiFi ulanish nuqtalari</t>
        </is>
      </c>
      <c r="B14" s="4" t="inlineStr">
        <is>
          <t xml:space="preserve"> Ubiquiti UniFi U6 Extender U6-Extender kirish nuqtasi</t>
        </is>
      </c>
      <c r="C14" s="5" t="inlineStr"/>
      <c r="D14" s="5" t="n">
        <v>2662290</v>
      </c>
      <c r="E14" s="5" t="n">
        <v>2377045</v>
      </c>
      <c r="F14" s="5" t="n">
        <v>2221560</v>
      </c>
      <c r="G14" s="5" t="inlineStr">
        <is>
          <t>UniFi UBIQUITI</t>
        </is>
      </c>
      <c r="H14" s="5">
        <f>HYPERLINK("https://itrix.uz/product/305", "🔗 Mahsulot sotib olish")</f>
        <v/>
      </c>
      <c r="I14" t="inlineStr">
        <is>
          <t>7-305-307</t>
        </is>
      </c>
    </row>
    <row r="15" ht="30" customHeight="1">
      <c r="A15" s="4" t="inlineStr">
        <is>
          <t>WiFi ulanish nuqtalari</t>
        </is>
      </c>
      <c r="B15" s="4" t="inlineStr">
        <is>
          <t>Ubiquiti UniFi AC Mesh (UAP-AC-M) kirish nuqtasi</t>
        </is>
      </c>
      <c r="C15" s="5" t="inlineStr"/>
      <c r="D15" s="5" t="n">
        <v>1562546</v>
      </c>
      <c r="E15" s="5" t="n">
        <v>1395130</v>
      </c>
      <c r="F15" s="5" t="n">
        <v>1287803</v>
      </c>
      <c r="G15" s="5" t="inlineStr">
        <is>
          <t>UniFi UBIQUITI</t>
        </is>
      </c>
      <c r="H15" s="5">
        <f>HYPERLINK("https://itrix.uz/product/1394", "🔗 Mahsulot sotib olish")</f>
        <v/>
      </c>
      <c r="I15" t="inlineStr">
        <is>
          <t>7-1394-1094</t>
        </is>
      </c>
    </row>
    <row r="16" ht="30" customHeight="1">
      <c r="A16" s="4" t="inlineStr">
        <is>
          <t>WiFi ulanish nuqtalari</t>
        </is>
      </c>
      <c r="B16" s="4" t="inlineStr">
        <is>
          <t xml:space="preserve"> MikroTik Disc Lite5 RBDisc-5nD kirish nuqtasi</t>
        </is>
      </c>
      <c r="C16" s="5" t="inlineStr"/>
      <c r="D16" s="5" t="n">
        <v>1206128</v>
      </c>
      <c r="E16" s="5" t="n">
        <v>1076900</v>
      </c>
      <c r="F16" s="5" t="inlineStr"/>
      <c r="G16" s="5" t="inlineStr">
        <is>
          <t>Mikrotik</t>
        </is>
      </c>
      <c r="H16" s="5">
        <f>HYPERLINK("https://itrix.uz/product/255", "🔗 Mahsulot sotib olish")</f>
        <v/>
      </c>
      <c r="I16" t="inlineStr">
        <is>
          <t>7-255-257</t>
        </is>
      </c>
    </row>
    <row r="17" ht="30" customHeight="1">
      <c r="A17" s="4" t="inlineStr">
        <is>
          <t>WiFi ulanish nuqtalari</t>
        </is>
      </c>
      <c r="B17" s="4" t="inlineStr">
        <is>
          <t xml:space="preserve"> Ubiquiti UniFi U6 Mesh U6-MESH kirish nuqtasi</t>
        </is>
      </c>
      <c r="C17" s="5" t="inlineStr"/>
      <c r="D17" s="5" t="n">
        <v>3100020</v>
      </c>
      <c r="E17" s="5" t="n">
        <v>2767875</v>
      </c>
      <c r="F17" s="5" t="n">
        <v>2554915</v>
      </c>
      <c r="G17" s="5" t="inlineStr">
        <is>
          <t>UniFi UBIQUITI</t>
        </is>
      </c>
      <c r="H17" s="5">
        <f>HYPERLINK("https://itrix.uz/product/304", "🔗 Mahsulot sotib olish")</f>
        <v/>
      </c>
      <c r="I17" t="inlineStr">
        <is>
          <t>7-304-306</t>
        </is>
      </c>
    </row>
    <row r="18" ht="30" customHeight="1">
      <c r="A18" s="4" t="inlineStr">
        <is>
          <t>WiFi ulanish nuqtalari</t>
        </is>
      </c>
      <c r="B18" s="4" t="inlineStr">
        <is>
          <t xml:space="preserve"> Ubiquiti UniFi U6 In Wall U6-IW kirish nuqtasi</t>
        </is>
      </c>
      <c r="C18" s="5" t="inlineStr"/>
      <c r="D18" s="5" t="n">
        <v>3225376</v>
      </c>
      <c r="E18" s="5" t="n">
        <v>2879800</v>
      </c>
      <c r="F18" s="5" t="inlineStr"/>
      <c r="G18" s="5" t="inlineStr">
        <is>
          <t>UniFi UBIQUITI</t>
        </is>
      </c>
      <c r="H18" s="5">
        <f>HYPERLINK("https://itrix.uz/product/306", "🔗 Mahsulot sotib olish")</f>
        <v/>
      </c>
      <c r="I18" t="inlineStr">
        <is>
          <t>7-306-308</t>
        </is>
      </c>
    </row>
    <row r="19" ht="30" customHeight="1">
      <c r="A19" s="4" t="inlineStr">
        <is>
          <t>WiFi ulanish nuqtalari</t>
        </is>
      </c>
      <c r="B19" s="4" t="inlineStr">
        <is>
          <t xml:space="preserve"> Ubiquiti airMAX LiteBeam 5AC Gen 2 LBE-5AC-GEN2 radiomosti</t>
        </is>
      </c>
      <c r="C19" s="5" t="inlineStr"/>
      <c r="D19" s="5" t="n">
        <v>1328096</v>
      </c>
      <c r="E19" s="5" t="n">
        <v>1185800</v>
      </c>
      <c r="F19" s="5" t="inlineStr"/>
      <c r="G19" s="5" t="inlineStr">
        <is>
          <t>UniFi UBIQUITI</t>
        </is>
      </c>
      <c r="H19" s="5">
        <f>HYPERLINK("https://itrix.uz/product/313", "🔗 Mahsulot sotib olish")</f>
        <v/>
      </c>
      <c r="I19" t="inlineStr">
        <is>
          <t>7-313-315</t>
        </is>
      </c>
    </row>
    <row r="20" ht="30" customHeight="1">
      <c r="A20" s="4" t="inlineStr">
        <is>
          <t>WiFi ulanish nuqtalari</t>
        </is>
      </c>
      <c r="B20" s="4" t="inlineStr">
        <is>
          <t xml:space="preserve"> Ubiquiti UniFi AC Swiss Army Knife UK-Ultra kirish nuqtasi</t>
        </is>
      </c>
      <c r="C20" s="5" t="inlineStr"/>
      <c r="D20" s="5" t="n">
        <v>2351272</v>
      </c>
      <c r="E20" s="5" t="n">
        <v>2099350</v>
      </c>
      <c r="F20" s="5" t="n">
        <v>1962015</v>
      </c>
      <c r="G20" s="5" t="inlineStr">
        <is>
          <t>UniFi UBIQUITI</t>
        </is>
      </c>
      <c r="H20" s="5">
        <f>HYPERLINK("https://itrix.uz/product/298", "🔗 Mahsulot sotib olish")</f>
        <v/>
      </c>
      <c r="I20" t="inlineStr">
        <is>
          <t>7-298-300</t>
        </is>
      </c>
    </row>
    <row r="21" ht="30" customHeight="1">
      <c r="A21" s="4" t="inlineStr">
        <is>
          <t>WiFi ulanish nuqtalari</t>
        </is>
      </c>
      <c r="B21" s="4" t="inlineStr">
        <is>
          <t xml:space="preserve"> Ubiquiti UniFi U6 Pro U6-Pro kirish nuqtasi</t>
        </is>
      </c>
      <c r="C21" s="5" t="inlineStr"/>
      <c r="D21" s="5" t="n">
        <v>2646299</v>
      </c>
      <c r="E21" s="5" t="n">
        <v>2362767</v>
      </c>
      <c r="F21" s="5" t="n">
        <v>2181025</v>
      </c>
      <c r="G21" s="5" t="inlineStr">
        <is>
          <t>UniFi UBIQUITI</t>
        </is>
      </c>
      <c r="H21" s="5">
        <f>HYPERLINK("https://itrix.uz/product/302", "🔗 Mahsulot sotib olish")</f>
        <v/>
      </c>
      <c r="I21" t="inlineStr">
        <is>
          <t>7-302-304</t>
        </is>
      </c>
    </row>
    <row r="22" ht="30" customHeight="1">
      <c r="A22" s="4" t="inlineStr">
        <is>
          <t>WiFi ulanish nuqtalari</t>
        </is>
      </c>
      <c r="B22" s="4" t="inlineStr">
        <is>
          <t>Ubiquiti NanoStation 5AC Loco (Loco5AC) kirish nuqtasi</t>
        </is>
      </c>
      <c r="C22" s="5" t="inlineStr"/>
      <c r="D22" s="5" t="n">
        <v>781273</v>
      </c>
      <c r="E22" s="5" t="n">
        <v>697565</v>
      </c>
      <c r="F22" s="5" t="n">
        <v>643962</v>
      </c>
      <c r="G22" s="5" t="inlineStr">
        <is>
          <t>UniFi UBIQUITI</t>
        </is>
      </c>
      <c r="H22" s="5">
        <f>HYPERLINK("https://itrix.uz/product/1349", "🔗 Mahsulot sotib olish")</f>
        <v/>
      </c>
      <c r="I22" t="inlineStr">
        <is>
          <t>7-1349-1049</t>
        </is>
      </c>
    </row>
    <row r="23" ht="30" customHeight="1">
      <c r="A23" s="4" t="inlineStr">
        <is>
          <t>WiFi ulanish nuqtalari</t>
        </is>
      </c>
      <c r="B23" s="4" t="inlineStr">
        <is>
          <t>Ubiquiti NanoStation Loco M2 kirish nuqtasi</t>
        </is>
      </c>
      <c r="C23" s="5" t="inlineStr"/>
      <c r="D23" s="5" t="n">
        <v>730859</v>
      </c>
      <c r="E23" s="5" t="n">
        <v>652553</v>
      </c>
      <c r="F23" s="5" t="n">
        <v>602338</v>
      </c>
      <c r="G23" s="5" t="inlineStr">
        <is>
          <t>UniFi UBIQUITI</t>
        </is>
      </c>
      <c r="H23" s="5">
        <f>HYPERLINK("https://itrix.uz/product/1350", "🔗 Mahsulot sotib olish")</f>
        <v/>
      </c>
      <c r="I23" t="inlineStr">
        <is>
          <t>7-1350-1050</t>
        </is>
      </c>
    </row>
    <row r="24" ht="30" customHeight="1">
      <c r="A24" s="4" t="inlineStr">
        <is>
          <t>WiFi ulanish nuqtalari</t>
        </is>
      </c>
      <c r="B24" s="4" t="inlineStr">
        <is>
          <t>H3C WA6120 simsiz kirish nuqtasi (Access Point)</t>
        </is>
      </c>
      <c r="C24" s="5" t="inlineStr"/>
      <c r="D24" s="5" t="n">
        <v>1273888</v>
      </c>
      <c r="E24" s="5" t="n">
        <v>1137400</v>
      </c>
      <c r="F24" s="5" t="inlineStr"/>
      <c r="G24" s="5" t="inlineStr">
        <is>
          <t>H3C</t>
        </is>
      </c>
      <c r="H24" s="5">
        <f>HYPERLINK("https://itrix.uz/product/209", "🔗 Mahsulot sotib olish")</f>
        <v/>
      </c>
      <c r="I24" t="inlineStr">
        <is>
          <t>7-209-211</t>
        </is>
      </c>
    </row>
    <row r="25" ht="30" customHeight="1">
      <c r="A25" s="4" t="inlineStr">
        <is>
          <t>WiFi ulanish nuqtalari</t>
        </is>
      </c>
      <c r="B25" s="4" t="inlineStr">
        <is>
          <t>H3C WA6120X tashqi (outdoor) simsiz kirish nuqtasi (Access Point)</t>
        </is>
      </c>
      <c r="C25" s="5" t="inlineStr"/>
      <c r="D25" s="5" t="n">
        <v>4621232</v>
      </c>
      <c r="E25" s="5" t="n">
        <v>4126100</v>
      </c>
      <c r="F25" s="5" t="inlineStr"/>
      <c r="G25" s="5" t="inlineStr">
        <is>
          <t>H3C</t>
        </is>
      </c>
      <c r="H25" s="5">
        <f>HYPERLINK("https://itrix.uz/product/210", "🔗 Mahsulot sotib olish")</f>
        <v/>
      </c>
      <c r="I25" t="inlineStr">
        <is>
          <t>7-210-212</t>
        </is>
      </c>
    </row>
    <row r="26">
      <c r="A26" s="4" t="inlineStr">
        <is>
          <t>WiFi ulanish nuqtalari</t>
        </is>
      </c>
      <c r="B26" s="4" t="inlineStr">
        <is>
          <t>MikroTik SXTsq Lite5 RBSXTsq5nD kirish nuqtasi — 5GHz CPE qurilmasi, tashqi foydalanish uchun simsiz tarmoq nuqtasi</t>
        </is>
      </c>
      <c r="C26" s="5" t="inlineStr"/>
      <c r="D26" s="5" t="n">
        <v>800381</v>
      </c>
      <c r="E26" s="5" t="n">
        <v>714626</v>
      </c>
      <c r="F26" s="5" t="n">
        <v>584430</v>
      </c>
      <c r="G26" s="5" t="inlineStr">
        <is>
          <t>Mikrotik</t>
        </is>
      </c>
      <c r="H26" s="5">
        <f>HYPERLINK("https://itrix.uz/product/248", "🔗 Mahsulot sotib olish")</f>
        <v/>
      </c>
      <c r="I26" t="inlineStr">
        <is>
          <t>7-248-250</t>
        </is>
      </c>
    </row>
    <row r="27">
      <c r="A27" s="4" t="inlineStr">
        <is>
          <t>WiFi ulanish nuqtalari</t>
        </is>
      </c>
      <c r="B27" s="4" t="inlineStr">
        <is>
          <t>MikroTik wAP ac (oq) RBwAPG-5HacD2HnD kirish nuqtasi — 2.4GHz va 5GHz, tashqi va ichki foydalanish uchun Wi-Fi nuqta</t>
        </is>
      </c>
      <c r="C27" s="5" t="inlineStr"/>
      <c r="D27" s="5" t="n">
        <v>1206128</v>
      </c>
      <c r="E27" s="5" t="n">
        <v>1076900</v>
      </c>
      <c r="F27" s="5" t="inlineStr"/>
      <c r="G27" s="5" t="inlineStr">
        <is>
          <t>Mikrotik</t>
        </is>
      </c>
      <c r="H27" s="5">
        <f>HYPERLINK("https://itrix.uz/product/252", "🔗 Mahsulot sotib olish")</f>
        <v/>
      </c>
      <c r="I27" t="inlineStr">
        <is>
          <t>7-252-254</t>
        </is>
      </c>
    </row>
    <row r="28" ht="30" customHeight="1">
      <c r="A28" s="4" t="inlineStr">
        <is>
          <t>WiFi ulanish nuqtalari</t>
        </is>
      </c>
      <c r="B28" s="4" t="inlineStr">
        <is>
          <t>Ichki Wi-Fi 6 nuqta Grandstream GWN7604</t>
        </is>
      </c>
      <c r="C28" s="5" t="inlineStr"/>
      <c r="D28" s="5" t="n">
        <v>1268467</v>
      </c>
      <c r="E28" s="5" t="n">
        <v>1132560</v>
      </c>
      <c r="F28" s="5" t="inlineStr"/>
      <c r="G28" s="5" t="inlineStr">
        <is>
          <t>Grandstream</t>
        </is>
      </c>
      <c r="H28" s="5">
        <f>HYPERLINK("https://itrix.uz/product/943", "🔗 Mahsulot sotib olish")</f>
        <v/>
      </c>
      <c r="I28" t="inlineStr">
        <is>
          <t>7-943-832</t>
        </is>
      </c>
    </row>
    <row r="29" ht="30" customHeight="1">
      <c r="A29" s="4" t="inlineStr">
        <is>
          <t>WiFi ulanish nuqtalari</t>
        </is>
      </c>
      <c r="B29" s="4" t="inlineStr">
        <is>
          <t>Grandstream GWN7605 Wi-Fi nuqtasi</t>
        </is>
      </c>
      <c r="C29" s="5" t="inlineStr"/>
      <c r="D29" s="5" t="n">
        <v>1268467</v>
      </c>
      <c r="E29" s="5" t="n">
        <v>1132560</v>
      </c>
      <c r="F29" s="5" t="inlineStr"/>
      <c r="G29" s="5" t="inlineStr">
        <is>
          <t>Grandstream</t>
        </is>
      </c>
      <c r="H29" s="5">
        <f>HYPERLINK("https://itrix.uz/product/944", "🔗 Mahsulot sotib olish")</f>
        <v/>
      </c>
      <c r="I29" t="inlineStr">
        <is>
          <t>7-944-833</t>
        </is>
      </c>
    </row>
    <row r="30" ht="30" customHeight="1">
      <c r="A30" s="4" t="inlineStr">
        <is>
          <t>WiFi ulanish nuqtalari</t>
        </is>
      </c>
      <c r="B30" s="4" t="inlineStr">
        <is>
          <t>Grandstream GWN7605LR Wi-Fi nuqta</t>
        </is>
      </c>
      <c r="C30" s="5" t="inlineStr"/>
      <c r="D30" s="5" t="n">
        <v>1805126</v>
      </c>
      <c r="E30" s="5" t="n">
        <v>1611720</v>
      </c>
      <c r="F30" s="5" t="inlineStr"/>
      <c r="G30" s="5" t="inlineStr">
        <is>
          <t>Grandstream</t>
        </is>
      </c>
      <c r="H30" s="5">
        <f>HYPERLINK("https://itrix.uz/product/945", "🔗 Mahsulot sotib olish")</f>
        <v/>
      </c>
      <c r="I30" t="inlineStr">
        <is>
          <t>7-945-834</t>
        </is>
      </c>
    </row>
    <row r="31" ht="30" customHeight="1">
      <c r="A31" s="4" t="inlineStr">
        <is>
          <t>WiFi ulanish nuqtalari</t>
        </is>
      </c>
      <c r="B31" s="4" t="inlineStr">
        <is>
          <t>Grandstream GWN7615 Wi-Fi  nuqtasi</t>
        </is>
      </c>
      <c r="C31" s="5" t="inlineStr"/>
      <c r="D31" s="5" t="n">
        <v>1626240</v>
      </c>
      <c r="E31" s="5" t="n">
        <v>1452000</v>
      </c>
      <c r="F31" s="5" t="inlineStr"/>
      <c r="G31" s="5" t="inlineStr">
        <is>
          <t>Grandstream</t>
        </is>
      </c>
      <c r="H31" s="5">
        <f>HYPERLINK("https://itrix.uz/product/946", "🔗 Mahsulot sotib olish")</f>
        <v/>
      </c>
      <c r="I31" t="inlineStr">
        <is>
          <t>7-946-835</t>
        </is>
      </c>
    </row>
    <row r="32" ht="30" customHeight="1">
      <c r="A32" s="4" t="inlineStr">
        <is>
          <t>WiFi ulanish nuqtalari</t>
        </is>
      </c>
      <c r="B32" s="4" t="inlineStr">
        <is>
          <t>WiFi nuqta Grandstream GWN7630</t>
        </is>
      </c>
      <c r="C32" s="5" t="inlineStr"/>
      <c r="D32" s="5" t="n">
        <v>2000275</v>
      </c>
      <c r="E32" s="5" t="n">
        <v>1785960</v>
      </c>
      <c r="F32" s="5" t="inlineStr"/>
      <c r="G32" s="5" t="inlineStr">
        <is>
          <t>Grandstream</t>
        </is>
      </c>
      <c r="H32" s="5">
        <f>HYPERLINK("https://itrix.uz/product/947", "🔗 Mahsulot sotib olish")</f>
        <v/>
      </c>
      <c r="I32" t="inlineStr">
        <is>
          <t>7-947-836</t>
        </is>
      </c>
    </row>
    <row r="33" ht="30" customHeight="1">
      <c r="A33" s="4" t="inlineStr">
        <is>
          <t>WiFi ulanish nuqtalari</t>
        </is>
      </c>
      <c r="B33" s="4" t="inlineStr">
        <is>
          <t>Ubiquiti LTU PRO (LTU-PRO-EU) kirish nuqtasi</t>
        </is>
      </c>
      <c r="C33" s="5" t="inlineStr"/>
      <c r="D33" s="5" t="n">
        <v>2999193</v>
      </c>
      <c r="E33" s="5" t="n">
        <v>2677851</v>
      </c>
      <c r="F33" s="5" t="n">
        <v>2471788</v>
      </c>
      <c r="G33" s="5" t="inlineStr">
        <is>
          <t>UniFi UBIQUITI</t>
        </is>
      </c>
      <c r="H33" s="5">
        <f>HYPERLINK("https://itrix.uz/product/1352", "🔗 Mahsulot sotib olish")</f>
        <v/>
      </c>
      <c r="I33" t="inlineStr">
        <is>
          <t>7-1352-1052</t>
        </is>
      </c>
    </row>
    <row r="34" ht="30" customHeight="1">
      <c r="A34" s="4" t="inlineStr">
        <is>
          <t>WiFi ulanish nuqtalari</t>
        </is>
      </c>
      <c r="B34" s="4" t="inlineStr">
        <is>
          <t>Ubiquiti NanoBeam 5AC Gen2 tashqi Wi-Fi ko'prigi va yo'naltirgichi</t>
        </is>
      </c>
      <c r="C34" s="5" t="inlineStr"/>
      <c r="D34" s="5" t="n">
        <v>1562546</v>
      </c>
      <c r="E34" s="5" t="n">
        <v>1395130</v>
      </c>
      <c r="F34" s="5" t="n">
        <v>1287803</v>
      </c>
      <c r="G34" s="5" t="inlineStr">
        <is>
          <t>UniFi UBIQUITI</t>
        </is>
      </c>
      <c r="H34" s="5">
        <f>HYPERLINK("https://itrix.uz/product/1353", "🔗 Mahsulot sotib olish")</f>
        <v/>
      </c>
      <c r="I34" t="inlineStr">
        <is>
          <t>7-1353-1053</t>
        </is>
      </c>
    </row>
    <row r="35" ht="30" customHeight="1">
      <c r="A35" s="4" t="inlineStr">
        <is>
          <t>WiFi ulanish nuqtalari</t>
        </is>
      </c>
      <c r="B35" s="4" t="inlineStr">
        <is>
          <t>WiFi nuqta Grandstream GWN7630LR</t>
        </is>
      </c>
      <c r="C35" s="5" t="inlineStr"/>
      <c r="D35" s="5" t="n">
        <v>2276736</v>
      </c>
      <c r="E35" s="5" t="n">
        <v>2032800</v>
      </c>
      <c r="F35" s="5" t="inlineStr"/>
      <c r="G35" s="5" t="inlineStr">
        <is>
          <t>Grandstream</t>
        </is>
      </c>
      <c r="H35" s="5">
        <f>HYPERLINK("https://itrix.uz/product/948", "🔗 Mahsulot sotib olish")</f>
        <v/>
      </c>
      <c r="I35" t="inlineStr">
        <is>
          <t>7-948-837</t>
        </is>
      </c>
    </row>
    <row r="36" ht="30" customHeight="1">
      <c r="A36" s="4" t="inlineStr">
        <is>
          <t>WiFi ulanish nuqtalari</t>
        </is>
      </c>
      <c r="B36" s="4" t="inlineStr">
        <is>
          <t>Wi-Fi kirish nuqtasi Grandstream GWN7660ELR</t>
        </is>
      </c>
      <c r="C36" s="5" t="inlineStr"/>
      <c r="D36" s="5" t="n">
        <v>2097850</v>
      </c>
      <c r="E36" s="5" t="n">
        <v>1873080</v>
      </c>
      <c r="F36" s="5" t="inlineStr"/>
      <c r="G36" s="5" t="inlineStr">
        <is>
          <t>Grandstream</t>
        </is>
      </c>
      <c r="H36" s="5">
        <f>HYPERLINK("https://itrix.uz/product/950", "🔗 Mahsulot sotib olish")</f>
        <v/>
      </c>
      <c r="I36" t="inlineStr">
        <is>
          <t>7-950-839</t>
        </is>
      </c>
    </row>
    <row r="37" ht="30" customHeight="1">
      <c r="A37" s="4" t="inlineStr">
        <is>
          <t>WiFi ulanish nuqtalari</t>
        </is>
      </c>
      <c r="B37" s="4" t="inlineStr">
        <is>
          <t>WiFi nuqtasi Grandstream GWN7664E</t>
        </is>
      </c>
      <c r="C37" s="5" t="inlineStr"/>
      <c r="D37" s="5" t="n">
        <v>3008544</v>
      </c>
      <c r="E37" s="5" t="n">
        <v>2686200</v>
      </c>
      <c r="F37" s="5" t="inlineStr"/>
      <c r="G37" s="5" t="inlineStr">
        <is>
          <t>Grandstream</t>
        </is>
      </c>
      <c r="H37" s="5">
        <f>HYPERLINK("https://itrix.uz/product/951", "🔗 Mahsulot sotib olish")</f>
        <v/>
      </c>
      <c r="I37" t="inlineStr">
        <is>
          <t>7-951-840</t>
        </is>
      </c>
    </row>
    <row r="38" ht="30" customHeight="1">
      <c r="A38" s="4" t="inlineStr">
        <is>
          <t>WiFi ulanish nuqtalari</t>
        </is>
      </c>
      <c r="B38" s="4" t="inlineStr">
        <is>
          <t>Wi-Fi 7 nuqtasi  Grandstream GWN7670</t>
        </is>
      </c>
      <c r="C38" s="5" t="inlineStr"/>
      <c r="D38" s="5" t="n">
        <v>2097850</v>
      </c>
      <c r="E38" s="5" t="n">
        <v>1873080</v>
      </c>
      <c r="F38" s="5" t="inlineStr"/>
      <c r="G38" s="5" t="inlineStr">
        <is>
          <t>Grandstream</t>
        </is>
      </c>
      <c r="H38" s="5">
        <f>HYPERLINK("https://itrix.uz/product/952", "🔗 Mahsulot sotib olish")</f>
        <v/>
      </c>
      <c r="I38" t="inlineStr">
        <is>
          <t>7-952-841</t>
        </is>
      </c>
    </row>
    <row r="39" ht="30" customHeight="1">
      <c r="A39" s="4" t="inlineStr">
        <is>
          <t>WiFi ulanish nuqtalari</t>
        </is>
      </c>
      <c r="B39" s="4" t="inlineStr">
        <is>
          <t>Ubiquiti NanoStation 5AC kirish nuqtasi</t>
        </is>
      </c>
      <c r="C39" s="5" t="inlineStr"/>
      <c r="D39" s="5" t="n">
        <v>2016267</v>
      </c>
      <c r="E39" s="5" t="n">
        <v>1800238</v>
      </c>
      <c r="F39" s="5" t="n">
        <v>1661693</v>
      </c>
      <c r="G39" s="5" t="inlineStr">
        <is>
          <t>UniFi UBIQUITI</t>
        </is>
      </c>
      <c r="H39" s="5">
        <f>HYPERLINK("https://itrix.uz/product/1354", "🔗 Mahsulot sotib olish")</f>
        <v/>
      </c>
      <c r="I39" t="inlineStr">
        <is>
          <t>7-1354-1054</t>
        </is>
      </c>
    </row>
    <row r="40" ht="30" customHeight="1">
      <c r="A40" s="4" t="inlineStr">
        <is>
          <t>WiFi ulanish nuqtalari</t>
        </is>
      </c>
      <c r="B40" s="4" t="inlineStr">
        <is>
          <t>Tashqi Wi-Fi 6 kirish nuqtasi Grandstream GWN7664ELR</t>
        </is>
      </c>
      <c r="C40" s="5" t="inlineStr"/>
      <c r="D40" s="5" t="n">
        <v>3626515</v>
      </c>
      <c r="E40" s="5" t="n">
        <v>3237960</v>
      </c>
      <c r="F40" s="5" t="inlineStr"/>
      <c r="G40" s="5" t="inlineStr">
        <is>
          <t>Grandstream</t>
        </is>
      </c>
      <c r="H40" s="5">
        <f>HYPERLINK("https://itrix.uz/product/1265", "🔗 Mahsulot sotib olish")</f>
        <v/>
      </c>
      <c r="I40" t="inlineStr">
        <is>
          <t>7-1265-976</t>
        </is>
      </c>
    </row>
    <row r="41" ht="30" customHeight="1">
      <c r="A41" s="4" t="inlineStr">
        <is>
          <t>WiFi ulanish nuqtalari</t>
        </is>
      </c>
      <c r="B41" s="4" t="inlineStr">
        <is>
          <t>Ubiquiti NanoStation M2 (NSM2) kirish nuqtasi</t>
        </is>
      </c>
      <c r="C41" s="5" t="inlineStr"/>
      <c r="D41" s="5" t="n">
        <v>1325657</v>
      </c>
      <c r="E41" s="5" t="n">
        <v>1183622</v>
      </c>
      <c r="F41" s="5" t="n">
        <v>1092630</v>
      </c>
      <c r="G41" s="5" t="inlineStr">
        <is>
          <t>UniFi UBIQUITI</t>
        </is>
      </c>
      <c r="H41" s="5">
        <f>HYPERLINK("https://itrix.uz/product/1355", "🔗 Mahsulot sotib olish")</f>
        <v/>
      </c>
      <c r="I41" t="inlineStr">
        <is>
          <t>7-1355-1055</t>
        </is>
      </c>
    </row>
    <row r="42" ht="30" customHeight="1">
      <c r="A42" s="4" t="inlineStr">
        <is>
          <t>WiFi ulanish nuqtalari</t>
        </is>
      </c>
      <c r="B42" s="4" t="inlineStr">
        <is>
          <t>Ubiquiti NanoStation M5 (NSM5) tashqi kirish nuqtasi</t>
        </is>
      </c>
      <c r="C42" s="5" t="inlineStr"/>
      <c r="D42" s="5" t="n">
        <v>1326876</v>
      </c>
      <c r="E42" s="5" t="n">
        <v>1184711</v>
      </c>
      <c r="F42" s="5" t="n">
        <v>1093598</v>
      </c>
      <c r="G42" s="5" t="inlineStr">
        <is>
          <t>UniFi UBIQUITI</t>
        </is>
      </c>
      <c r="H42" s="5">
        <f>HYPERLINK("https://itrix.uz/product/1356", "🔗 Mahsulot sotib olish")</f>
        <v/>
      </c>
      <c r="I42" t="inlineStr">
        <is>
          <t>7-1356-1056</t>
        </is>
      </c>
    </row>
    <row r="43" ht="30" customHeight="1">
      <c r="A43" s="4" t="inlineStr">
        <is>
          <t>WiFi ulanish nuqtalari</t>
        </is>
      </c>
      <c r="B43" s="4" t="inlineStr">
        <is>
          <t>Ubiquiti PowerBeam PBE-5AC-Gen2 radioko‘prigi</t>
        </is>
      </c>
      <c r="C43" s="5" t="inlineStr"/>
      <c r="D43" s="5" t="n">
        <v>1865026</v>
      </c>
      <c r="E43" s="5" t="n">
        <v>1665202</v>
      </c>
      <c r="F43" s="5" t="n">
        <v>1537063</v>
      </c>
      <c r="G43" s="5" t="inlineStr">
        <is>
          <t>UniFi UBIQUITI</t>
        </is>
      </c>
      <c r="H43" s="5">
        <f>HYPERLINK("https://itrix.uz/product/1358", "🔗 Mahsulot sotib olish")</f>
        <v/>
      </c>
      <c r="I43" t="inlineStr">
        <is>
          <t>7-1358-1058</t>
        </is>
      </c>
    </row>
    <row r="44" ht="30" customHeight="1">
      <c r="A44" s="4" t="inlineStr">
        <is>
          <t>WiFi ulanish nuqtalari</t>
        </is>
      </c>
      <c r="B44" s="4" t="inlineStr">
        <is>
          <t>Bulutli shlyuz (Gateway) Ubiquiti UniFi Express 7 UX7 Cloud Gateway</t>
        </is>
      </c>
      <c r="C44" s="5" t="inlineStr"/>
      <c r="D44" s="5" t="n">
        <v>3452779</v>
      </c>
      <c r="E44" s="5" t="n">
        <v>3082838</v>
      </c>
      <c r="F44" s="5" t="n">
        <v>2845678</v>
      </c>
      <c r="G44" s="5" t="inlineStr">
        <is>
          <t>UniFi UBIQUITI</t>
        </is>
      </c>
      <c r="H44" s="5">
        <f>HYPERLINK("https://itrix.uz/product/1453", "🔗 Mahsulot sotib olish")</f>
        <v/>
      </c>
      <c r="I44" t="inlineStr">
        <is>
          <t>7-1453-1153</t>
        </is>
      </c>
    </row>
    <row r="45" ht="30" customHeight="1">
      <c r="A45" s="4" t="inlineStr">
        <is>
          <t>WiFi ulanish nuqtalari</t>
        </is>
      </c>
      <c r="B45" s="4" t="inlineStr">
        <is>
          <t>MikroTik NetBox 5 ax (L11UG-5HaxD-NB) tashqi kirish nuqtasi</t>
        </is>
      </c>
      <c r="C45" s="5" t="inlineStr"/>
      <c r="D45" s="5" t="n">
        <v>1688579</v>
      </c>
      <c r="E45" s="5" t="n">
        <v>1507660</v>
      </c>
      <c r="F45" s="5" t="n">
        <v>1391742</v>
      </c>
      <c r="G45" s="5" t="inlineStr">
        <is>
          <t>Mikrotik</t>
        </is>
      </c>
      <c r="H45" s="5">
        <f>HYPERLINK("https://itrix.uz/product/1319", "🔗 Mahsulot sotib olish")</f>
        <v/>
      </c>
      <c r="I45" t="inlineStr">
        <is>
          <t>7-1319-1020</t>
        </is>
      </c>
    </row>
    <row r="46" ht="30" customHeight="1">
      <c r="A46" s="4" t="inlineStr">
        <is>
          <t>WiFi ulanish nuqtalari</t>
        </is>
      </c>
      <c r="B46" s="4" t="inlineStr">
        <is>
          <t>Ubiquiti Rocket 5AC Lite (R5AC-Lite) kirish nuqtasi</t>
        </is>
      </c>
      <c r="C46" s="5" t="inlineStr"/>
      <c r="D46" s="5" t="n">
        <v>2066680</v>
      </c>
      <c r="E46" s="5" t="n">
        <v>1845250</v>
      </c>
      <c r="F46" s="5" t="n">
        <v>1703317</v>
      </c>
      <c r="G46" s="5" t="inlineStr">
        <is>
          <t>UniFi UBIQUITI</t>
        </is>
      </c>
      <c r="H46" s="5">
        <f>HYPERLINK("https://itrix.uz/product/1364", "🔗 Mahsulot sotib olish")</f>
        <v/>
      </c>
      <c r="I46" t="inlineStr">
        <is>
          <t>7-1364-1064</t>
        </is>
      </c>
    </row>
    <row r="47" ht="30" customHeight="1">
      <c r="A47" s="4" t="inlineStr">
        <is>
          <t>WiFi ulanish nuqtalari</t>
        </is>
      </c>
      <c r="B47" s="4" t="inlineStr">
        <is>
          <t>MikroTik RouterBOARD QRT 5 (QRT911G-5HPnD-QRT) kirish nuqtasi</t>
        </is>
      </c>
      <c r="C47" s="5" t="inlineStr"/>
      <c r="D47" s="5" t="n">
        <v>2545472</v>
      </c>
      <c r="E47" s="5" t="n">
        <v>2272743</v>
      </c>
      <c r="F47" s="5" t="n">
        <v>2097898</v>
      </c>
      <c r="G47" s="5" t="inlineStr">
        <is>
          <t>Mikrotik</t>
        </is>
      </c>
      <c r="H47" s="5">
        <f>HYPERLINK("https://itrix.uz/product/1323", "🔗 Mahsulot sotib olish")</f>
        <v/>
      </c>
      <c r="I47" t="inlineStr">
        <is>
          <t>7-1323-1024</t>
        </is>
      </c>
    </row>
    <row r="48" ht="30" customHeight="1">
      <c r="A48" s="4" t="inlineStr">
        <is>
          <t>WiFi ulanish nuqtalari</t>
        </is>
      </c>
      <c r="B48" s="4" t="inlineStr">
        <is>
          <t>Ubiquiti Rocket M2 kirish nuqtasi (2.4 GHz MIMO AirMax)</t>
        </is>
      </c>
      <c r="C48" s="5" t="inlineStr"/>
      <c r="D48" s="5" t="n">
        <v>1436512</v>
      </c>
      <c r="E48" s="5" t="n">
        <v>1282600</v>
      </c>
      <c r="F48" s="5" t="n">
        <v>1183985</v>
      </c>
      <c r="G48" s="5" t="inlineStr">
        <is>
          <t>UniFi UBIQUITI</t>
        </is>
      </c>
      <c r="H48" s="5">
        <f>HYPERLINK("https://itrix.uz/product/1366", "🔗 Mahsulot sotib olish")</f>
        <v/>
      </c>
      <c r="I48" t="inlineStr">
        <is>
          <t>7-1366-1066</t>
        </is>
      </c>
    </row>
    <row r="49" ht="30" customHeight="1">
      <c r="A49" s="4" t="inlineStr">
        <is>
          <t>WiFi ulanish nuqtalari</t>
        </is>
      </c>
      <c r="B49" s="4" t="inlineStr">
        <is>
          <t>Ubiquiti Rocket Prism 5AC GEN2 kirish nuqtasi (airMAX AC 5 GHz baza stansiya)</t>
        </is>
      </c>
      <c r="C49" s="5" t="inlineStr"/>
      <c r="D49" s="5" t="n">
        <v>3805673</v>
      </c>
      <c r="E49" s="5" t="n">
        <v>3397922</v>
      </c>
      <c r="F49" s="5" t="n">
        <v>3136562</v>
      </c>
      <c r="G49" s="5" t="inlineStr">
        <is>
          <t>UniFi UBIQUITI</t>
        </is>
      </c>
      <c r="H49" s="5">
        <f>HYPERLINK("https://itrix.uz/product/1367", "🔗 Mahsulot sotib olish")</f>
        <v/>
      </c>
      <c r="I49" t="inlineStr">
        <is>
          <t>7-1367-1067</t>
        </is>
      </c>
    </row>
    <row r="50" ht="30" customHeight="1">
      <c r="A50" s="4" t="inlineStr">
        <is>
          <t>WiFi ulanish nuqtalari</t>
        </is>
      </c>
      <c r="B50" s="4" t="inlineStr">
        <is>
          <t>Ubiquiti UniFi U6+ (U6-PLUS) Wi-Fi 6 kirish nuqtasi</t>
        </is>
      </c>
      <c r="C50" s="5" t="inlineStr"/>
      <c r="D50" s="5" t="n">
        <v>1638166</v>
      </c>
      <c r="E50" s="5" t="n">
        <v>1462648</v>
      </c>
      <c r="F50" s="5" t="n">
        <v>1350118</v>
      </c>
      <c r="G50" s="5" t="inlineStr">
        <is>
          <t>UniFi UBIQUITI</t>
        </is>
      </c>
      <c r="H50" s="5">
        <f>HYPERLINK("https://itrix.uz/product/1368", "🔗 Mahsulot sotib olish")</f>
        <v/>
      </c>
      <c r="I50" t="inlineStr">
        <is>
          <t>7-1368-1068</t>
        </is>
      </c>
    </row>
    <row r="51" ht="30" customHeight="1">
      <c r="A51" s="4" t="inlineStr">
        <is>
          <t>WiFi ulanish nuqtalari</t>
        </is>
      </c>
      <c r="B51" s="4" t="inlineStr">
        <is>
          <t xml:space="preserve">Kirish nuqtasi Ubiquiti UniFi U6-Mesh-Pro </t>
        </is>
      </c>
      <c r="C51" s="5" t="inlineStr"/>
      <c r="D51" s="5" t="n">
        <v>3225918</v>
      </c>
      <c r="E51" s="5" t="n">
        <v>2880284</v>
      </c>
      <c r="F51" s="5" t="n">
        <v>2658733</v>
      </c>
      <c r="G51" s="5" t="inlineStr">
        <is>
          <t>UniFi UBIQUITI</t>
        </is>
      </c>
      <c r="H51" s="5">
        <f>HYPERLINK("https://itrix.uz/product/1369", "🔗 Mahsulot sotib olish")</f>
        <v/>
      </c>
      <c r="I51" t="inlineStr">
        <is>
          <t>7-1369-1069</t>
        </is>
      </c>
    </row>
    <row r="52" ht="30" customHeight="1">
      <c r="A52" s="4" t="inlineStr">
        <is>
          <t>WiFi ulanish nuqtalari</t>
        </is>
      </c>
      <c r="B52" s="4" t="inlineStr">
        <is>
          <t>Wi-Fi Ubiquiti U7 In-Wall kirish nuqtasi</t>
        </is>
      </c>
      <c r="C52" s="5" t="inlineStr"/>
      <c r="D52" s="5" t="n">
        <v>2696712</v>
      </c>
      <c r="E52" s="5" t="n">
        <v>2407779</v>
      </c>
      <c r="F52" s="5" t="n">
        <v>2222528</v>
      </c>
      <c r="G52" s="5" t="inlineStr">
        <is>
          <t>UniFi UBIQUITI</t>
        </is>
      </c>
      <c r="H52" s="5">
        <f>HYPERLINK("https://itrix.uz/product/1370", "🔗 Mahsulot sotib olish")</f>
        <v/>
      </c>
      <c r="I52" t="inlineStr">
        <is>
          <t>7-1370-1070</t>
        </is>
      </c>
    </row>
    <row r="53" ht="30" customHeight="1">
      <c r="A53" s="4" t="inlineStr">
        <is>
          <t>WiFi ulanish nuqtalari</t>
        </is>
      </c>
      <c r="B53" s="4" t="inlineStr">
        <is>
          <t>MikroTik cAP ac (RBcAPGi-5acD2nD) kirish nuqtasi</t>
        </is>
      </c>
      <c r="C53" s="5" t="inlineStr"/>
      <c r="D53" s="5" t="n">
        <v>1199623</v>
      </c>
      <c r="E53" s="5" t="n">
        <v>1071092</v>
      </c>
      <c r="F53" s="5" t="n">
        <v>988691</v>
      </c>
      <c r="G53" s="5" t="inlineStr">
        <is>
          <t>Mikrotik</t>
        </is>
      </c>
      <c r="H53" s="5">
        <f>HYPERLINK("https://itrix.uz/product/1329", "🔗 Mahsulot sotib olish")</f>
        <v/>
      </c>
      <c r="I53" t="inlineStr">
        <is>
          <t>7-1329-1030</t>
        </is>
      </c>
    </row>
    <row r="54" ht="30" customHeight="1">
      <c r="A54" s="4" t="inlineStr">
        <is>
          <t>WiFi ulanish nuqtalari</t>
        </is>
      </c>
      <c r="B54" s="4" t="inlineStr">
        <is>
          <t>Ubiquiti UniFi U7-Lite Wi-Fi kirish nuqtasi</t>
        </is>
      </c>
      <c r="C54" s="5" t="inlineStr"/>
      <c r="D54" s="5" t="n">
        <v>1638166</v>
      </c>
      <c r="E54" s="5" t="n">
        <v>1462648</v>
      </c>
      <c r="F54" s="5" t="n">
        <v>1350118</v>
      </c>
      <c r="G54" s="5" t="inlineStr">
        <is>
          <t>UniFi UBIQUITI</t>
        </is>
      </c>
      <c r="H54" s="5">
        <f>HYPERLINK("https://itrix.uz/product/1371", "🔗 Mahsulot sotib olish")</f>
        <v/>
      </c>
      <c r="I54" t="inlineStr">
        <is>
          <t>7-1371-1071</t>
        </is>
      </c>
    </row>
    <row r="55" ht="30" customHeight="1">
      <c r="A55" s="4" t="inlineStr">
        <is>
          <t>WiFi ulanish nuqtalari</t>
        </is>
      </c>
      <c r="B55" s="4" t="inlineStr">
        <is>
          <t>Simsiz kirish nuqtasi MikroTik SXTsq Lite5 (RBSXTsq5nD)</t>
        </is>
      </c>
      <c r="C55" s="5" t="inlineStr"/>
      <c r="D55" s="5" t="n">
        <v>640196</v>
      </c>
      <c r="E55" s="5" t="n">
        <v>571604</v>
      </c>
      <c r="F55" s="5" t="n">
        <v>527560</v>
      </c>
      <c r="G55" s="5" t="inlineStr">
        <is>
          <t>Mikrotik</t>
        </is>
      </c>
      <c r="H55" s="5">
        <f>HYPERLINK("https://itrix.uz/product/1331", "🔗 Mahsulot sotib olish")</f>
        <v/>
      </c>
      <c r="I55" t="inlineStr">
        <is>
          <t>7-1331-1032</t>
        </is>
      </c>
    </row>
    <row r="56" ht="30" customHeight="1">
      <c r="A56" s="4" t="inlineStr">
        <is>
          <t>WiFi ulanish nuqtalari</t>
        </is>
      </c>
      <c r="B56" s="4" t="inlineStr">
        <is>
          <t>Simsiz kirish nuqtasi MikroTik wAP ac LTE kit (RBwAPGR-5HacD2HnD&amp;R11e-LTE)</t>
        </is>
      </c>
      <c r="C56" s="5" t="inlineStr"/>
      <c r="D56" s="5" t="n">
        <v>2444645</v>
      </c>
      <c r="E56" s="5" t="n">
        <v>2182719</v>
      </c>
      <c r="F56" s="5" t="n">
        <v>2014892</v>
      </c>
      <c r="G56" s="5" t="inlineStr">
        <is>
          <t>Mikrotik</t>
        </is>
      </c>
      <c r="H56" s="5">
        <f>HYPERLINK("https://itrix.uz/product/1332", "🔗 Mahsulot sotib olish")</f>
        <v/>
      </c>
      <c r="I56" t="inlineStr">
        <is>
          <t>7-1332-1033</t>
        </is>
      </c>
    </row>
    <row r="57" ht="30" customHeight="1">
      <c r="A57" s="4" t="inlineStr">
        <is>
          <t>WiFi ulanish nuqtalari</t>
        </is>
      </c>
      <c r="B57" s="4" t="inlineStr">
        <is>
          <t>Ubiquiti UniFi U7 Long-Range (U7-LR) Wi-Fi kirish nuqtasi</t>
        </is>
      </c>
      <c r="C57" s="5" t="inlineStr"/>
      <c r="D57" s="5" t="n">
        <v>2621092</v>
      </c>
      <c r="E57" s="5" t="n">
        <v>2340261</v>
      </c>
      <c r="F57" s="5" t="n">
        <v>2160213</v>
      </c>
      <c r="G57" s="5" t="inlineStr">
        <is>
          <t>UniFi UBIQUITI</t>
        </is>
      </c>
      <c r="H57" s="5">
        <f>HYPERLINK("https://itrix.uz/product/1372", "🔗 Mahsulot sotib olish")</f>
        <v/>
      </c>
      <c r="I57" t="inlineStr">
        <is>
          <t>7-1372-1072</t>
        </is>
      </c>
    </row>
    <row r="58" ht="30" customHeight="1">
      <c r="A58" s="4" t="inlineStr">
        <is>
          <t>WiFi ulanish nuqtalari</t>
        </is>
      </c>
      <c r="B58" s="4" t="inlineStr">
        <is>
          <t>Ubiquiti U7-Outdoor Wi-Fi 7 tashqi kirish nuqtasi</t>
        </is>
      </c>
      <c r="C58" s="5" t="inlineStr"/>
      <c r="D58" s="5" t="n">
        <v>3402365</v>
      </c>
      <c r="E58" s="5" t="n">
        <v>3037826</v>
      </c>
      <c r="F58" s="5" t="n">
        <v>2804175</v>
      </c>
      <c r="G58" s="5" t="inlineStr">
        <is>
          <t>UniFi UBIQUITI</t>
        </is>
      </c>
      <c r="H58" s="5">
        <f>HYPERLINK("https://itrix.uz/product/1373", "🔗 Mahsulot sotib olish")</f>
        <v/>
      </c>
      <c r="I58" t="inlineStr">
        <is>
          <t>7-1373-1073</t>
        </is>
      </c>
    </row>
    <row r="59" ht="30" customHeight="1">
      <c r="A59" s="4" t="inlineStr">
        <is>
          <t>WiFi ulanish nuqtalari</t>
        </is>
      </c>
      <c r="B59" s="4" t="inlineStr">
        <is>
          <t>Ubiquiti UniFi U7-PRO-MAX Wi-Fi 7 kirish nuqtasi</t>
        </is>
      </c>
      <c r="C59" s="5" t="inlineStr"/>
      <c r="D59" s="5" t="n">
        <v>4687772</v>
      </c>
      <c r="E59" s="5" t="n">
        <v>4185511</v>
      </c>
      <c r="F59" s="5" t="n">
        <v>3863530</v>
      </c>
      <c r="G59" s="5" t="inlineStr">
        <is>
          <t>UniFi UBIQUITI</t>
        </is>
      </c>
      <c r="H59" s="5">
        <f>HYPERLINK("https://itrix.uz/product/1374", "🔗 Mahsulot sotib olish")</f>
        <v/>
      </c>
      <c r="I59" t="inlineStr">
        <is>
          <t>7-1374-1074</t>
        </is>
      </c>
    </row>
    <row r="60" ht="30" customHeight="1">
      <c r="A60" s="4" t="inlineStr">
        <is>
          <t>WiFi ulanish nuqtalari</t>
        </is>
      </c>
      <c r="B60" s="4" t="inlineStr">
        <is>
          <t>Ubiquiti UniFi U7 Pro Outdoor simsiz kirish nuqtasi</t>
        </is>
      </c>
      <c r="C60" s="5" t="inlineStr"/>
      <c r="D60" s="5" t="n">
        <v>4889426</v>
      </c>
      <c r="E60" s="5" t="n">
        <v>4365559</v>
      </c>
      <c r="F60" s="5" t="n">
        <v>4029663</v>
      </c>
      <c r="G60" s="5" t="inlineStr">
        <is>
          <t>UniFi UBIQUITI</t>
        </is>
      </c>
      <c r="H60" s="5">
        <f>HYPERLINK("https://itrix.uz/product/1375", "🔗 Mahsulot sotib olish")</f>
        <v/>
      </c>
      <c r="I60" t="inlineStr">
        <is>
          <t>7-1375-1075</t>
        </is>
      </c>
    </row>
    <row r="61" ht="30" customHeight="1">
      <c r="A61" s="4" t="inlineStr">
        <is>
          <t>WiFi ulanish nuqtalari</t>
        </is>
      </c>
      <c r="B61" s="4" t="inlineStr">
        <is>
          <t>Ubiquiti U7 Pro Wall  kirish nuqtasi</t>
        </is>
      </c>
      <c r="C61" s="5" t="inlineStr"/>
      <c r="D61" s="5" t="n">
        <v>3351952</v>
      </c>
      <c r="E61" s="5" t="n">
        <v>2992814</v>
      </c>
      <c r="F61" s="5" t="n">
        <v>2762672</v>
      </c>
      <c r="G61" s="5" t="inlineStr">
        <is>
          <t>UniFi UBIQUITI</t>
        </is>
      </c>
      <c r="H61" s="5">
        <f>HYPERLINK("https://itrix.uz/product/1376", "🔗 Mahsulot sotib olish")</f>
        <v/>
      </c>
      <c r="I61" t="inlineStr">
        <is>
          <t>7-1376-1076</t>
        </is>
      </c>
    </row>
    <row r="62" ht="30" customHeight="1">
      <c r="A62" s="4" t="inlineStr">
        <is>
          <t>WiFi ulanish nuqtalari</t>
        </is>
      </c>
      <c r="B62" s="4" t="inlineStr">
        <is>
          <t>Ubiquiti UniFi U7 Pro XG kirish nuqtasi</t>
        </is>
      </c>
      <c r="C62" s="5" t="inlineStr"/>
      <c r="D62" s="5" t="n">
        <v>3503192</v>
      </c>
      <c r="E62" s="5" t="n">
        <v>3127850</v>
      </c>
      <c r="F62" s="5" t="n">
        <v>2887302</v>
      </c>
      <c r="G62" s="5" t="inlineStr">
        <is>
          <t>UniFi UBIQUITI</t>
        </is>
      </c>
      <c r="H62" s="5">
        <f>HYPERLINK("https://itrix.uz/product/1377", "🔗 Mahsulot sotib olish")</f>
        <v/>
      </c>
      <c r="I62" t="inlineStr">
        <is>
          <t>7-1377-1077</t>
        </is>
      </c>
    </row>
    <row r="63" ht="30" customHeight="1">
      <c r="A63" s="4" t="inlineStr">
        <is>
          <t>WiFi ulanish nuqtalari</t>
        </is>
      </c>
      <c r="B63" s="4" t="inlineStr">
        <is>
          <t>WiFi kirish nuqtasi Cisco C9115AXI-I</t>
        </is>
      </c>
      <c r="C63" s="5" t="inlineStr"/>
      <c r="D63" s="5" t="n">
        <v>22669786</v>
      </c>
      <c r="E63" s="5" t="n">
        <v>20240880</v>
      </c>
      <c r="F63" s="5" t="inlineStr"/>
      <c r="G63" s="5" t="inlineStr">
        <is>
          <t>Cisco</t>
        </is>
      </c>
      <c r="H63" s="5">
        <f>HYPERLINK("https://itrix.uz/product/1173", "🔗 Mahsulot sotib olish")</f>
        <v/>
      </c>
      <c r="I63" t="inlineStr">
        <is>
          <t>7-1173-903</t>
        </is>
      </c>
    </row>
    <row r="64" ht="30" customHeight="1">
      <c r="A64" s="4" t="inlineStr">
        <is>
          <t>WiFi ulanish nuqtalari</t>
        </is>
      </c>
      <c r="B64" s="4" t="inlineStr">
        <is>
          <t>Wi-Fi nuqta Grandstream GWN7660E</t>
        </is>
      </c>
      <c r="C64" s="5" t="inlineStr"/>
      <c r="D64" s="5" t="n">
        <v>1447354</v>
      </c>
      <c r="E64" s="5" t="n">
        <v>1292280</v>
      </c>
      <c r="F64" s="5" t="inlineStr"/>
      <c r="G64" s="5" t="inlineStr">
        <is>
          <t>Grandstream</t>
        </is>
      </c>
      <c r="H64" s="5">
        <f>HYPERLINK("https://itrix.uz/product/949", "🔗 Mahsulot sotib olish")</f>
        <v/>
      </c>
      <c r="I64" t="inlineStr">
        <is>
          <t>7-949-838</t>
        </is>
      </c>
    </row>
    <row r="65" ht="30" customHeight="1">
      <c r="A65" s="4" t="inlineStr">
        <is>
          <t>WiFi ulanish nuqtalari</t>
        </is>
      </c>
      <c r="B65" s="4" t="inlineStr">
        <is>
          <t>Cisco Catalyst C9120AXI-I kirish nuqtasi</t>
        </is>
      </c>
      <c r="C65" s="5" t="inlineStr"/>
      <c r="D65" s="5" t="n">
        <v>36292256</v>
      </c>
      <c r="E65" s="5" t="n">
        <v>32403800</v>
      </c>
      <c r="F65" s="5" t="inlineStr"/>
      <c r="G65" s="5" t="inlineStr">
        <is>
          <t>Cisco</t>
        </is>
      </c>
      <c r="H65" s="5">
        <f>HYPERLINK("https://itrix.uz/product/1253", "🔗 Mahsulot sotib olish")</f>
        <v/>
      </c>
      <c r="I65" t="inlineStr">
        <is>
          <t>7-1253-964</t>
        </is>
      </c>
    </row>
    <row r="66" ht="30" customHeight="1">
      <c r="A66" s="4" t="inlineStr">
        <is>
          <t>WiFi ulanish nuqtalari</t>
        </is>
      </c>
      <c r="B66" s="4" t="inlineStr">
        <is>
          <t>Ubiquiti UniFi E7 Wi-Fi kirish nuqtasi</t>
        </is>
      </c>
      <c r="C66" s="5" t="inlineStr"/>
      <c r="D66" s="5" t="n">
        <v>8770583</v>
      </c>
      <c r="E66" s="5" t="n">
        <v>7830878</v>
      </c>
      <c r="F66" s="5" t="n">
        <v>7228540</v>
      </c>
      <c r="G66" s="5" t="inlineStr">
        <is>
          <t>UniFi UBIQUITI</t>
        </is>
      </c>
      <c r="H66" s="5">
        <f>HYPERLINK("https://itrix.uz/product/1342", "🔗 Mahsulot sotib olish")</f>
        <v/>
      </c>
      <c r="I66" t="inlineStr">
        <is>
          <t>7-1342-1043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tabColor rgb="002F3229"/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cols>
    <col width="30" customWidth="1" min="1" max="1"/>
    <col width="100" customWidth="1" min="2" max="2"/>
    <col width="30" customWidth="1" min="3" max="3"/>
    <col width="20" customWidth="1" min="4" max="4"/>
    <col width="20" customWidth="1" min="5" max="5"/>
    <col width="20" customWidth="1" min="6" max="6"/>
    <col width="25" customWidth="1" min="7" max="7"/>
    <col width="20" customWidth="1" min="8" max="8"/>
  </cols>
  <sheetData>
    <row r="1" ht="30" customHeight="1">
      <c r="A1" s="1" t="inlineStr">
        <is>
          <t>Kategoriya</t>
        </is>
      </c>
      <c r="B1" s="1" t="inlineStr">
        <is>
          <t>Mahsulot nomi</t>
        </is>
      </c>
      <c r="C1" s="2" t="inlineStr">
        <is>
          <t>Kafolat</t>
        </is>
      </c>
      <c r="D1" s="2" t="inlineStr">
        <is>
          <t>QQS bilan narxi</t>
        </is>
      </c>
      <c r="E1" s="2" t="inlineStr">
        <is>
          <t>QQSsiz narxi</t>
        </is>
      </c>
      <c r="F1" s="2" t="inlineStr">
        <is>
          <t>5 dona dan</t>
        </is>
      </c>
      <c r="G1" s="2" t="inlineStr">
        <is>
          <t>Brend</t>
        </is>
      </c>
      <c r="H1" s="2" t="inlineStr">
        <is>
          <t>Saytda</t>
        </is>
      </c>
      <c r="I1" s="3" t="inlineStr">
        <is>
          <t>SKU</t>
        </is>
      </c>
    </row>
    <row r="2" ht="30" customHeight="1">
      <c r="A2" s="4" t="inlineStr">
        <is>
          <t>Aqlli uy</t>
        </is>
      </c>
      <c r="B2" s="4" t="inlineStr">
        <is>
          <t>Ubiquiti Electric Lock elektromexanik eshik qulfi (UACC-Lock-Strike-Secure-15mm)</t>
        </is>
      </c>
      <c r="C2" s="5" t="inlineStr"/>
      <c r="D2" s="5" t="n">
        <v>1486925</v>
      </c>
      <c r="E2" s="5" t="n">
        <v>1327612</v>
      </c>
      <c r="F2" s="5" t="n">
        <v>1225488</v>
      </c>
      <c r="G2" s="5" t="inlineStr">
        <is>
          <t>UniFi UBIQUITI</t>
        </is>
      </c>
      <c r="H2" s="5">
        <f>HYPERLINK("https://itrix.uz/product/1382", "🔗 Mahsulot sotib olish")</f>
        <v/>
      </c>
      <c r="I2" t="inlineStr">
        <is>
          <t>56-1382-1082</t>
        </is>
      </c>
    </row>
    <row r="3" ht="30" customHeight="1">
      <c r="A3" s="4" t="inlineStr">
        <is>
          <t>Aqlli uy</t>
        </is>
      </c>
      <c r="B3" s="4" t="inlineStr">
        <is>
          <t>Ubiquiti UA Access Intercom Viewer kirishni boshqarish paneli</t>
        </is>
      </c>
      <c r="C3" s="5" t="inlineStr"/>
      <c r="D3" s="5" t="n">
        <v>2847953</v>
      </c>
      <c r="E3" s="5" t="n">
        <v>2542815</v>
      </c>
      <c r="F3" s="5" t="n">
        <v>2347158</v>
      </c>
      <c r="G3" s="5" t="inlineStr">
        <is>
          <t>UniFi UBIQUITI</t>
        </is>
      </c>
      <c r="H3" s="5">
        <f>HYPERLINK("https://itrix.uz/product/1393", "🔗 Mahsulot sotib olish")</f>
        <v/>
      </c>
      <c r="I3" t="inlineStr">
        <is>
          <t>56-1393-1093</t>
        </is>
      </c>
    </row>
    <row r="4" ht="30" customHeight="1">
      <c r="A4" s="4" t="inlineStr">
        <is>
          <t>Aqlli uy</t>
        </is>
      </c>
      <c r="B4" s="4" t="inlineStr">
        <is>
          <t>Ubiquiti UA-G3-SK-Pro kirish tizimi xavfsizligi</t>
        </is>
      </c>
      <c r="C4" s="5" t="inlineStr"/>
      <c r="D4" s="5" t="n">
        <v>12097464</v>
      </c>
      <c r="E4" s="5" t="n">
        <v>10801307</v>
      </c>
      <c r="F4" s="5" t="n">
        <v>9970400</v>
      </c>
      <c r="G4" s="5" t="inlineStr">
        <is>
          <t>UniFi UBIQUITI</t>
        </is>
      </c>
      <c r="H4" s="5">
        <f>HYPERLINK("https://itrix.uz/product/1392", "🔗 Mahsulot sotib olish")</f>
        <v/>
      </c>
      <c r="I4" t="inlineStr">
        <is>
          <t>56-1392-1092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2026-09-09T11:24:48Z</dcterms:created>
  <dcterms:modified xsi:type="dcterms:W3CDTF">2026-09-09T11:24:49Z</dcterms:modified>
</cp:coreProperties>
</file>